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workbookProtection workbookPassword="A70A" lockStructure="1"/>
  <bookViews>
    <workbookView xWindow="0" yWindow="0" windowWidth="28800" windowHeight="12435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H235" i="1" l="1"/>
  <c r="G215" i="1" l="1"/>
  <c r="F472" i="1"/>
  <c r="G197" i="1"/>
  <c r="G198" i="1"/>
  <c r="G202" i="1"/>
  <c r="G203" i="1"/>
  <c r="G205" i="1"/>
  <c r="G207" i="1"/>
  <c r="G208" i="1"/>
  <c r="J215" i="1"/>
  <c r="G216" i="1"/>
  <c r="G220" i="1"/>
  <c r="G221" i="1"/>
  <c r="G223" i="1"/>
  <c r="G225" i="1"/>
  <c r="G226" i="1"/>
  <c r="G233" i="1"/>
  <c r="G234" i="1"/>
  <c r="H197" i="1"/>
  <c r="F50" i="1"/>
  <c r="H22" i="1" l="1"/>
  <c r="H472" i="1"/>
  <c r="G14" i="1" l="1"/>
  <c r="H360" i="1"/>
  <c r="H359" i="1"/>
  <c r="H358" i="1"/>
  <c r="H468" i="1" l="1"/>
  <c r="G24" i="1" l="1"/>
  <c r="F29" i="1"/>
  <c r="F24" i="1"/>
  <c r="F9" i="1" l="1"/>
  <c r="H102" i="1" l="1"/>
  <c r="G244" i="1"/>
  <c r="G243" i="1"/>
  <c r="G241" i="1"/>
  <c r="G239" i="1"/>
  <c r="G238" i="1"/>
  <c r="H155" i="1" l="1"/>
  <c r="H154" i="1"/>
  <c r="G158" i="1"/>
  <c r="G132" i="1"/>
  <c r="G110" i="1"/>
  <c r="G97" i="1"/>
  <c r="F96" i="1"/>
  <c r="D11" i="13" l="1"/>
  <c r="H543" i="1" l="1"/>
  <c r="H542" i="1"/>
  <c r="H541" i="1"/>
  <c r="H523" i="1"/>
  <c r="H522" i="1"/>
  <c r="H521" i="1"/>
  <c r="H319" i="1"/>
  <c r="H314" i="1"/>
  <c r="G236" i="1" l="1"/>
  <c r="H245" i="1"/>
  <c r="H244" i="1"/>
  <c r="I243" i="1"/>
  <c r="H243" i="1"/>
  <c r="I241" i="1"/>
  <c r="H241" i="1"/>
  <c r="H240" i="1"/>
  <c r="H239" i="1"/>
  <c r="H238" i="1"/>
  <c r="H236" i="1"/>
  <c r="H234" i="1"/>
  <c r="H227" i="1"/>
  <c r="H226" i="1"/>
  <c r="H225" i="1"/>
  <c r="H223" i="1"/>
  <c r="H222" i="1"/>
  <c r="H221" i="1"/>
  <c r="H220" i="1"/>
  <c r="H218" i="1"/>
  <c r="I216" i="1"/>
  <c r="H216" i="1"/>
  <c r="H215" i="1"/>
  <c r="H207" i="1"/>
  <c r="H209" i="1"/>
  <c r="H208" i="1"/>
  <c r="H204" i="1"/>
  <c r="H202" i="1"/>
  <c r="H198" i="1"/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L224" i="1"/>
  <c r="L242" i="1"/>
  <c r="F16" i="13"/>
  <c r="G16" i="13"/>
  <c r="L209" i="1"/>
  <c r="L227" i="1"/>
  <c r="L245" i="1"/>
  <c r="F5" i="13"/>
  <c r="G5" i="13"/>
  <c r="L197" i="1"/>
  <c r="L198" i="1"/>
  <c r="L199" i="1"/>
  <c r="L200" i="1"/>
  <c r="L215" i="1"/>
  <c r="L216" i="1"/>
  <c r="L217" i="1"/>
  <c r="L218" i="1"/>
  <c r="L233" i="1"/>
  <c r="L234" i="1"/>
  <c r="L235" i="1"/>
  <c r="L236" i="1"/>
  <c r="F6" i="13"/>
  <c r="G6" i="13"/>
  <c r="L202" i="1"/>
  <c r="L220" i="1"/>
  <c r="L238" i="1"/>
  <c r="F7" i="13"/>
  <c r="G7" i="13"/>
  <c r="L203" i="1"/>
  <c r="L221" i="1"/>
  <c r="L239" i="1"/>
  <c r="F12" i="13"/>
  <c r="G12" i="13"/>
  <c r="L205" i="1"/>
  <c r="L223" i="1"/>
  <c r="L241" i="1"/>
  <c r="F14" i="13"/>
  <c r="G14" i="13"/>
  <c r="L207" i="1"/>
  <c r="L225" i="1"/>
  <c r="L243" i="1"/>
  <c r="F15" i="13"/>
  <c r="G15" i="13"/>
  <c r="L208" i="1"/>
  <c r="L226" i="1"/>
  <c r="L244" i="1"/>
  <c r="G651" i="1" s="1"/>
  <c r="F17" i="13"/>
  <c r="G17" i="13"/>
  <c r="L251" i="1"/>
  <c r="F18" i="13"/>
  <c r="G18" i="13"/>
  <c r="L252" i="1"/>
  <c r="F19" i="13"/>
  <c r="G19" i="13"/>
  <c r="L253" i="1"/>
  <c r="F29" i="13"/>
  <c r="G29" i="13"/>
  <c r="L358" i="1"/>
  <c r="L359" i="1"/>
  <c r="L360" i="1"/>
  <c r="I367" i="1"/>
  <c r="J290" i="1"/>
  <c r="J309" i="1"/>
  <c r="J328" i="1"/>
  <c r="K290" i="1"/>
  <c r="K309" i="1"/>
  <c r="K328" i="1"/>
  <c r="L276" i="1"/>
  <c r="L277" i="1"/>
  <c r="L278" i="1"/>
  <c r="L279" i="1"/>
  <c r="L281" i="1"/>
  <c r="L282" i="1"/>
  <c r="L283" i="1"/>
  <c r="L284" i="1"/>
  <c r="L285" i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L334" i="1"/>
  <c r="L335" i="1"/>
  <c r="L260" i="1"/>
  <c r="L261" i="1"/>
  <c r="L341" i="1"/>
  <c r="L342" i="1"/>
  <c r="E132" i="2" s="1"/>
  <c r="L255" i="1"/>
  <c r="L336" i="1"/>
  <c r="E130" i="2" s="1"/>
  <c r="C11" i="13"/>
  <c r="C10" i="13"/>
  <c r="C9" i="13"/>
  <c r="L361" i="1"/>
  <c r="B4" i="12"/>
  <c r="B36" i="12"/>
  <c r="C36" i="12"/>
  <c r="B40" i="12"/>
  <c r="C40" i="12"/>
  <c r="B27" i="12"/>
  <c r="A31" i="12" s="1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G60" i="1"/>
  <c r="H60" i="1"/>
  <c r="I60" i="1"/>
  <c r="F79" i="1"/>
  <c r="C57" i="2" s="1"/>
  <c r="F94" i="1"/>
  <c r="F111" i="1"/>
  <c r="G111" i="1"/>
  <c r="G112" i="1" s="1"/>
  <c r="H79" i="1"/>
  <c r="E57" i="2" s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H140" i="1" s="1"/>
  <c r="I121" i="1"/>
  <c r="I136" i="1"/>
  <c r="J121" i="1"/>
  <c r="J136" i="1"/>
  <c r="J140" i="1" s="1"/>
  <c r="F147" i="1"/>
  <c r="F162" i="1"/>
  <c r="F169" i="1" s="1"/>
  <c r="G147" i="1"/>
  <c r="G162" i="1"/>
  <c r="H147" i="1"/>
  <c r="H162" i="1"/>
  <c r="H169" i="1" s="1"/>
  <c r="I147" i="1"/>
  <c r="I162" i="1"/>
  <c r="L250" i="1"/>
  <c r="L332" i="1"/>
  <c r="L254" i="1"/>
  <c r="L268" i="1"/>
  <c r="C142" i="2" s="1"/>
  <c r="L269" i="1"/>
  <c r="L349" i="1"/>
  <c r="L350" i="1"/>
  <c r="I665" i="1"/>
  <c r="I670" i="1"/>
  <c r="I669" i="1"/>
  <c r="C42" i="10"/>
  <c r="C32" i="10"/>
  <c r="L374" i="1"/>
  <c r="L375" i="1"/>
  <c r="L376" i="1"/>
  <c r="L377" i="1"/>
  <c r="L378" i="1"/>
  <c r="L379" i="1"/>
  <c r="L380" i="1"/>
  <c r="B2" i="10"/>
  <c r="L344" i="1"/>
  <c r="E134" i="2" s="1"/>
  <c r="L345" i="1"/>
  <c r="L346" i="1"/>
  <c r="L347" i="1"/>
  <c r="K351" i="1"/>
  <c r="L521" i="1"/>
  <c r="F549" i="1" s="1"/>
  <c r="L522" i="1"/>
  <c r="F550" i="1" s="1"/>
  <c r="L523" i="1"/>
  <c r="F551" i="1" s="1"/>
  <c r="L526" i="1"/>
  <c r="G549" i="1" s="1"/>
  <c r="L527" i="1"/>
  <c r="G550" i="1" s="1"/>
  <c r="L528" i="1"/>
  <c r="G551" i="1" s="1"/>
  <c r="L531" i="1"/>
  <c r="H549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L542" i="1"/>
  <c r="J550" i="1" s="1"/>
  <c r="L543" i="1"/>
  <c r="J551" i="1" s="1"/>
  <c r="E131" i="2"/>
  <c r="K270" i="1"/>
  <c r="J270" i="1"/>
  <c r="I270" i="1"/>
  <c r="H270" i="1"/>
  <c r="G270" i="1"/>
  <c r="F270" i="1"/>
  <c r="C131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G22" i="2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D56" i="2"/>
  <c r="E56" i="2"/>
  <c r="F56" i="2"/>
  <c r="C58" i="2"/>
  <c r="E58" i="2"/>
  <c r="C59" i="2"/>
  <c r="D59" i="2"/>
  <c r="E59" i="2"/>
  <c r="F59" i="2"/>
  <c r="D60" i="2"/>
  <c r="C61" i="2"/>
  <c r="D61" i="2"/>
  <c r="E61" i="2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F76" i="2"/>
  <c r="C77" i="2"/>
  <c r="D77" i="2"/>
  <c r="D78" i="2" s="1"/>
  <c r="E77" i="2"/>
  <c r="F77" i="2"/>
  <c r="G77" i="2"/>
  <c r="G78" i="2" s="1"/>
  <c r="C79" i="2"/>
  <c r="D79" i="2"/>
  <c r="E79" i="2"/>
  <c r="C80" i="2"/>
  <c r="E80" i="2"/>
  <c r="C85" i="2"/>
  <c r="D85" i="2"/>
  <c r="D91" i="2" s="1"/>
  <c r="E85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E110" i="2"/>
  <c r="C113" i="2"/>
  <c r="E113" i="2"/>
  <c r="D115" i="2"/>
  <c r="F115" i="2"/>
  <c r="G115" i="2"/>
  <c r="E121" i="2"/>
  <c r="E123" i="2"/>
  <c r="E125" i="2"/>
  <c r="F128" i="2"/>
  <c r="G128" i="2"/>
  <c r="C130" i="2"/>
  <c r="D134" i="2"/>
  <c r="D144" i="2" s="1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19" i="1"/>
  <c r="G618" i="1" s="1"/>
  <c r="H19" i="1"/>
  <c r="I19" i="1"/>
  <c r="G620" i="1" s="1"/>
  <c r="F32" i="1"/>
  <c r="F52" i="1" s="1"/>
  <c r="H617" i="1" s="1"/>
  <c r="G32" i="1"/>
  <c r="G52" i="1" s="1"/>
  <c r="H618" i="1" s="1"/>
  <c r="H32" i="1"/>
  <c r="I32" i="1"/>
  <c r="H51" i="1"/>
  <c r="G624" i="1" s="1"/>
  <c r="I51" i="1"/>
  <c r="F177" i="1"/>
  <c r="I177" i="1"/>
  <c r="F183" i="1"/>
  <c r="G183" i="1"/>
  <c r="G192" i="1" s="1"/>
  <c r="H183" i="1"/>
  <c r="I183" i="1"/>
  <c r="J183" i="1"/>
  <c r="J192" i="1" s="1"/>
  <c r="F188" i="1"/>
  <c r="F192" i="1" s="1"/>
  <c r="G188" i="1"/>
  <c r="H188" i="1"/>
  <c r="I188" i="1"/>
  <c r="F211" i="1"/>
  <c r="G211" i="1"/>
  <c r="H211" i="1"/>
  <c r="I211" i="1"/>
  <c r="J211" i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F290" i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K337" i="1"/>
  <c r="F362" i="1"/>
  <c r="G362" i="1"/>
  <c r="H362" i="1"/>
  <c r="I362" i="1"/>
  <c r="J362" i="1"/>
  <c r="K362" i="1"/>
  <c r="I368" i="1"/>
  <c r="I369" i="1" s="1"/>
  <c r="H634" i="1" s="1"/>
  <c r="F369" i="1"/>
  <c r="G369" i="1"/>
  <c r="H369" i="1"/>
  <c r="L381" i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H407" i="1"/>
  <c r="I407" i="1"/>
  <c r="F408" i="1"/>
  <c r="H643" i="1" s="1"/>
  <c r="I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446" i="1"/>
  <c r="G640" i="1" s="1"/>
  <c r="H446" i="1"/>
  <c r="G641" i="1" s="1"/>
  <c r="F452" i="1"/>
  <c r="F461" i="1" s="1"/>
  <c r="H639" i="1" s="1"/>
  <c r="J639" i="1" s="1"/>
  <c r="G452" i="1"/>
  <c r="H452" i="1"/>
  <c r="F460" i="1"/>
  <c r="G460" i="1"/>
  <c r="H460" i="1"/>
  <c r="H461" i="1" s="1"/>
  <c r="H641" i="1" s="1"/>
  <c r="J641" i="1" s="1"/>
  <c r="F470" i="1"/>
  <c r="G470" i="1"/>
  <c r="H470" i="1"/>
  <c r="I470" i="1"/>
  <c r="J470" i="1"/>
  <c r="F474" i="1"/>
  <c r="G474" i="1"/>
  <c r="G476" i="1" s="1"/>
  <c r="H623" i="1" s="1"/>
  <c r="H474" i="1"/>
  <c r="I474" i="1"/>
  <c r="J474" i="1"/>
  <c r="K495" i="1"/>
  <c r="K496" i="1"/>
  <c r="K497" i="1"/>
  <c r="K498" i="1"/>
  <c r="K499" i="1"/>
  <c r="K500" i="1"/>
  <c r="K501" i="1"/>
  <c r="K502" i="1"/>
  <c r="F517" i="1"/>
  <c r="G517" i="1"/>
  <c r="H517" i="1"/>
  <c r="I517" i="1"/>
  <c r="F524" i="1"/>
  <c r="G524" i="1"/>
  <c r="H524" i="1"/>
  <c r="I524" i="1"/>
  <c r="J524" i="1"/>
  <c r="K524" i="1"/>
  <c r="F529" i="1"/>
  <c r="G529" i="1"/>
  <c r="H529" i="1"/>
  <c r="I529" i="1"/>
  <c r="J529" i="1"/>
  <c r="K529" i="1"/>
  <c r="F534" i="1"/>
  <c r="G534" i="1"/>
  <c r="H534" i="1"/>
  <c r="I534" i="1"/>
  <c r="J534" i="1"/>
  <c r="K534" i="1"/>
  <c r="F539" i="1"/>
  <c r="G539" i="1"/>
  <c r="H539" i="1"/>
  <c r="I539" i="1"/>
  <c r="J539" i="1"/>
  <c r="K539" i="1"/>
  <c r="F544" i="1"/>
  <c r="G544" i="1"/>
  <c r="H544" i="1"/>
  <c r="I544" i="1"/>
  <c r="J544" i="1"/>
  <c r="K544" i="1"/>
  <c r="L557" i="1"/>
  <c r="L558" i="1"/>
  <c r="L559" i="1"/>
  <c r="F560" i="1"/>
  <c r="G560" i="1"/>
  <c r="H560" i="1"/>
  <c r="I560" i="1"/>
  <c r="I571" i="1" s="1"/>
  <c r="J560" i="1"/>
  <c r="K560" i="1"/>
  <c r="L562" i="1"/>
  <c r="L563" i="1"/>
  <c r="L564" i="1"/>
  <c r="F565" i="1"/>
  <c r="G565" i="1"/>
  <c r="H565" i="1"/>
  <c r="I565" i="1"/>
  <c r="J565" i="1"/>
  <c r="K565" i="1"/>
  <c r="L567" i="1"/>
  <c r="L570" i="1" s="1"/>
  <c r="L568" i="1"/>
  <c r="L569" i="1"/>
  <c r="F570" i="1"/>
  <c r="F571" i="1" s="1"/>
  <c r="G570" i="1"/>
  <c r="H570" i="1"/>
  <c r="I570" i="1"/>
  <c r="J570" i="1"/>
  <c r="J571" i="1" s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H605" i="1"/>
  <c r="I605" i="1"/>
  <c r="J605" i="1"/>
  <c r="F614" i="1"/>
  <c r="G614" i="1"/>
  <c r="H614" i="1"/>
  <c r="I614" i="1"/>
  <c r="J614" i="1"/>
  <c r="K614" i="1"/>
  <c r="G617" i="1"/>
  <c r="G619" i="1"/>
  <c r="G622" i="1"/>
  <c r="G623" i="1"/>
  <c r="H627" i="1"/>
  <c r="H628" i="1"/>
  <c r="H629" i="1"/>
  <c r="H630" i="1"/>
  <c r="H631" i="1"/>
  <c r="H632" i="1"/>
  <c r="H633" i="1"/>
  <c r="G634" i="1"/>
  <c r="H635" i="1"/>
  <c r="H636" i="1"/>
  <c r="H637" i="1"/>
  <c r="H638" i="1"/>
  <c r="G639" i="1"/>
  <c r="G643" i="1"/>
  <c r="G644" i="1"/>
  <c r="G650" i="1"/>
  <c r="G652" i="1"/>
  <c r="H652" i="1"/>
  <c r="G653" i="1"/>
  <c r="H653" i="1"/>
  <c r="G654" i="1"/>
  <c r="H654" i="1"/>
  <c r="H655" i="1"/>
  <c r="C91" i="2"/>
  <c r="G62" i="2"/>
  <c r="E78" i="2"/>
  <c r="I169" i="1"/>
  <c r="H192" i="1"/>
  <c r="G36" i="2"/>
  <c r="J655" i="1" l="1"/>
  <c r="G408" i="1"/>
  <c r="H645" i="1" s="1"/>
  <c r="F78" i="2"/>
  <c r="J643" i="1"/>
  <c r="L419" i="1"/>
  <c r="H112" i="1"/>
  <c r="E124" i="2"/>
  <c r="E120" i="2"/>
  <c r="E111" i="2"/>
  <c r="D19" i="13"/>
  <c r="C19" i="13" s="1"/>
  <c r="G552" i="1"/>
  <c r="H552" i="1"/>
  <c r="L534" i="1"/>
  <c r="F476" i="1"/>
  <c r="H622" i="1" s="1"/>
  <c r="J622" i="1" s="1"/>
  <c r="G662" i="1"/>
  <c r="F22" i="13"/>
  <c r="C22" i="13" s="1"/>
  <c r="G461" i="1"/>
  <c r="H640" i="1" s="1"/>
  <c r="J640" i="1" s="1"/>
  <c r="J476" i="1"/>
  <c r="H626" i="1" s="1"/>
  <c r="I476" i="1"/>
  <c r="H625" i="1" s="1"/>
  <c r="J623" i="1"/>
  <c r="G645" i="1"/>
  <c r="H476" i="1"/>
  <c r="H624" i="1" s="1"/>
  <c r="J624" i="1" s="1"/>
  <c r="J651" i="1"/>
  <c r="K605" i="1"/>
  <c r="G648" i="1" s="1"/>
  <c r="H408" i="1"/>
  <c r="H644" i="1" s="1"/>
  <c r="J644" i="1" s="1"/>
  <c r="F130" i="2"/>
  <c r="F144" i="2" s="1"/>
  <c r="F145" i="2" s="1"/>
  <c r="C26" i="10"/>
  <c r="L401" i="1"/>
  <c r="C139" i="2" s="1"/>
  <c r="L393" i="1"/>
  <c r="C138" i="2" s="1"/>
  <c r="C25" i="10"/>
  <c r="E114" i="2"/>
  <c r="E122" i="2"/>
  <c r="C122" i="2"/>
  <c r="J634" i="1"/>
  <c r="I460" i="1"/>
  <c r="I452" i="1"/>
  <c r="I446" i="1"/>
  <c r="G642" i="1" s="1"/>
  <c r="L433" i="1"/>
  <c r="L427" i="1"/>
  <c r="K338" i="1"/>
  <c r="G338" i="1"/>
  <c r="G352" i="1" s="1"/>
  <c r="C114" i="2"/>
  <c r="K598" i="1"/>
  <c r="G647" i="1" s="1"/>
  <c r="K571" i="1"/>
  <c r="H571" i="1"/>
  <c r="G161" i="2"/>
  <c r="D50" i="2"/>
  <c r="E119" i="2"/>
  <c r="I52" i="1"/>
  <c r="H620" i="1" s="1"/>
  <c r="H52" i="1"/>
  <c r="H619" i="1" s="1"/>
  <c r="J619" i="1" s="1"/>
  <c r="J617" i="1"/>
  <c r="D18" i="2"/>
  <c r="H662" i="1"/>
  <c r="G81" i="2"/>
  <c r="D31" i="2"/>
  <c r="E31" i="2"/>
  <c r="F18" i="2"/>
  <c r="C18" i="2"/>
  <c r="E62" i="2"/>
  <c r="E63" i="2" s="1"/>
  <c r="D18" i="13"/>
  <c r="C18" i="13" s="1"/>
  <c r="D17" i="13"/>
  <c r="C17" i="13" s="1"/>
  <c r="G164" i="2"/>
  <c r="G157" i="2"/>
  <c r="G156" i="2"/>
  <c r="E103" i="2"/>
  <c r="D81" i="2"/>
  <c r="C70" i="2"/>
  <c r="D62" i="2"/>
  <c r="D63" i="2" s="1"/>
  <c r="C78" i="2"/>
  <c r="C81" i="2" s="1"/>
  <c r="F112" i="1"/>
  <c r="J545" i="1"/>
  <c r="L565" i="1"/>
  <c r="L560" i="1"/>
  <c r="H545" i="1"/>
  <c r="K550" i="1"/>
  <c r="J552" i="1"/>
  <c r="K545" i="1"/>
  <c r="L544" i="1"/>
  <c r="G545" i="1"/>
  <c r="K551" i="1"/>
  <c r="I545" i="1"/>
  <c r="L524" i="1"/>
  <c r="F552" i="1"/>
  <c r="K549" i="1"/>
  <c r="D29" i="13"/>
  <c r="C29" i="13" s="1"/>
  <c r="G661" i="1"/>
  <c r="L362" i="1"/>
  <c r="G635" i="1" s="1"/>
  <c r="J635" i="1" s="1"/>
  <c r="H661" i="1"/>
  <c r="E118" i="2"/>
  <c r="E128" i="2" s="1"/>
  <c r="L328" i="1"/>
  <c r="H338" i="1"/>
  <c r="H352" i="1" s="1"/>
  <c r="E112" i="2"/>
  <c r="L309" i="1"/>
  <c r="F338" i="1"/>
  <c r="F352" i="1" s="1"/>
  <c r="C11" i="10"/>
  <c r="C132" i="2"/>
  <c r="L270" i="1"/>
  <c r="L256" i="1"/>
  <c r="C125" i="2"/>
  <c r="C121" i="2"/>
  <c r="C16" i="10"/>
  <c r="C112" i="2"/>
  <c r="C12" i="10"/>
  <c r="L247" i="1"/>
  <c r="C109" i="2"/>
  <c r="C21" i="10"/>
  <c r="C123" i="2"/>
  <c r="C119" i="2"/>
  <c r="C118" i="2"/>
  <c r="C13" i="10"/>
  <c r="A40" i="12"/>
  <c r="C110" i="2"/>
  <c r="K257" i="1"/>
  <c r="K271" i="1" s="1"/>
  <c r="J257" i="1"/>
  <c r="J271" i="1" s="1"/>
  <c r="I257" i="1"/>
  <c r="I271" i="1" s="1"/>
  <c r="H257" i="1"/>
  <c r="H271" i="1" s="1"/>
  <c r="G257" i="1"/>
  <c r="G271" i="1" s="1"/>
  <c r="A13" i="12"/>
  <c r="L229" i="1"/>
  <c r="F257" i="1"/>
  <c r="F271" i="1" s="1"/>
  <c r="D14" i="13"/>
  <c r="C14" i="13" s="1"/>
  <c r="E16" i="13"/>
  <c r="C16" i="13" s="1"/>
  <c r="C20" i="10"/>
  <c r="C18" i="10"/>
  <c r="C17" i="10"/>
  <c r="D7" i="13"/>
  <c r="C7" i="13" s="1"/>
  <c r="D5" i="13"/>
  <c r="C5" i="13" s="1"/>
  <c r="L211" i="1"/>
  <c r="C10" i="10"/>
  <c r="E13" i="13"/>
  <c r="C13" i="13" s="1"/>
  <c r="E8" i="13"/>
  <c r="C8" i="13" s="1"/>
  <c r="D12" i="13"/>
  <c r="C12" i="13" s="1"/>
  <c r="L290" i="1"/>
  <c r="L539" i="1"/>
  <c r="K503" i="1"/>
  <c r="L382" i="1"/>
  <c r="G636" i="1" s="1"/>
  <c r="J636" i="1" s="1"/>
  <c r="K352" i="1"/>
  <c r="E109" i="2"/>
  <c r="C62" i="2"/>
  <c r="F661" i="1"/>
  <c r="C19" i="10"/>
  <c r="C15" i="10"/>
  <c r="C35" i="10"/>
  <c r="C29" i="10"/>
  <c r="I552" i="1"/>
  <c r="D6" i="13"/>
  <c r="C6" i="13" s="1"/>
  <c r="D15" i="13"/>
  <c r="C15" i="13" s="1"/>
  <c r="G649" i="1"/>
  <c r="J649" i="1" s="1"/>
  <c r="J338" i="1"/>
  <c r="J352" i="1" s="1"/>
  <c r="D127" i="2"/>
  <c r="D128" i="2" s="1"/>
  <c r="D145" i="2" s="1"/>
  <c r="C124" i="2"/>
  <c r="C120" i="2"/>
  <c r="C111" i="2"/>
  <c r="C56" i="2"/>
  <c r="F662" i="1"/>
  <c r="H25" i="13"/>
  <c r="E81" i="2"/>
  <c r="F81" i="2"/>
  <c r="L351" i="1"/>
  <c r="H647" i="1"/>
  <c r="G625" i="1"/>
  <c r="J625" i="1" s="1"/>
  <c r="L614" i="1"/>
  <c r="L529" i="1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C50" i="2"/>
  <c r="F31" i="2"/>
  <c r="C31" i="2"/>
  <c r="E18" i="2"/>
  <c r="E144" i="2"/>
  <c r="F50" i="2"/>
  <c r="F51" i="2" s="1"/>
  <c r="C24" i="10"/>
  <c r="G31" i="13"/>
  <c r="G33" i="13" s="1"/>
  <c r="I338" i="1"/>
  <c r="I352" i="1" s="1"/>
  <c r="J650" i="1"/>
  <c r="L407" i="1"/>
  <c r="C140" i="2" s="1"/>
  <c r="I192" i="1"/>
  <c r="E91" i="2"/>
  <c r="J654" i="1"/>
  <c r="J653" i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F31" i="13"/>
  <c r="J193" i="1"/>
  <c r="G646" i="1" s="1"/>
  <c r="H193" i="1"/>
  <c r="G629" i="1" s="1"/>
  <c r="J629" i="1" s="1"/>
  <c r="G169" i="1"/>
  <c r="C39" i="10" s="1"/>
  <c r="G140" i="1"/>
  <c r="F140" i="1"/>
  <c r="F193" i="1" s="1"/>
  <c r="G627" i="1" s="1"/>
  <c r="J627" i="1" s="1"/>
  <c r="C36" i="10"/>
  <c r="G63" i="2"/>
  <c r="J618" i="1"/>
  <c r="G42" i="2"/>
  <c r="J51" i="1"/>
  <c r="G16" i="2"/>
  <c r="G18" i="2" s="1"/>
  <c r="J19" i="1"/>
  <c r="G621" i="1" s="1"/>
  <c r="F545" i="1"/>
  <c r="H434" i="1"/>
  <c r="J620" i="1"/>
  <c r="D103" i="2"/>
  <c r="D104" i="2" s="1"/>
  <c r="I140" i="1"/>
  <c r="A22" i="12"/>
  <c r="G50" i="2"/>
  <c r="J652" i="1"/>
  <c r="G571" i="1"/>
  <c r="I434" i="1"/>
  <c r="G434" i="1"/>
  <c r="I663" i="1"/>
  <c r="J645" i="1" l="1"/>
  <c r="G51" i="2"/>
  <c r="D51" i="2"/>
  <c r="J647" i="1"/>
  <c r="I662" i="1"/>
  <c r="I193" i="1"/>
  <c r="G630" i="1" s="1"/>
  <c r="J630" i="1" s="1"/>
  <c r="C141" i="2"/>
  <c r="C144" i="2" s="1"/>
  <c r="F104" i="2"/>
  <c r="L571" i="1"/>
  <c r="I461" i="1"/>
  <c r="H642" i="1" s="1"/>
  <c r="J642" i="1" s="1"/>
  <c r="E51" i="2"/>
  <c r="E104" i="2"/>
  <c r="I661" i="1"/>
  <c r="K552" i="1"/>
  <c r="L545" i="1"/>
  <c r="C27" i="10"/>
  <c r="C28" i="10" s="1"/>
  <c r="D24" i="10" s="1"/>
  <c r="H660" i="1"/>
  <c r="H664" i="1" s="1"/>
  <c r="H667" i="1" s="1"/>
  <c r="G660" i="1"/>
  <c r="G664" i="1" s="1"/>
  <c r="G672" i="1" s="1"/>
  <c r="C5" i="10" s="1"/>
  <c r="E115" i="2"/>
  <c r="E145" i="2" s="1"/>
  <c r="L338" i="1"/>
  <c r="L352" i="1" s="1"/>
  <c r="G633" i="1" s="1"/>
  <c r="J633" i="1" s="1"/>
  <c r="D31" i="13"/>
  <c r="C31" i="13" s="1"/>
  <c r="C115" i="2"/>
  <c r="C128" i="2"/>
  <c r="H648" i="1"/>
  <c r="J648" i="1" s="1"/>
  <c r="L257" i="1"/>
  <c r="L271" i="1" s="1"/>
  <c r="G632" i="1" s="1"/>
  <c r="J632" i="1" s="1"/>
  <c r="E33" i="13"/>
  <c r="D35" i="13" s="1"/>
  <c r="F660" i="1"/>
  <c r="F664" i="1" s="1"/>
  <c r="C63" i="2"/>
  <c r="C104" i="2" s="1"/>
  <c r="F33" i="13"/>
  <c r="G104" i="2"/>
  <c r="C25" i="13"/>
  <c r="H33" i="13"/>
  <c r="L408" i="1"/>
  <c r="C51" i="2"/>
  <c r="G631" i="1"/>
  <c r="J631" i="1" s="1"/>
  <c r="G193" i="1"/>
  <c r="G628" i="1" s="1"/>
  <c r="J628" i="1" s="1"/>
  <c r="G626" i="1"/>
  <c r="J626" i="1" s="1"/>
  <c r="J52" i="1"/>
  <c r="H621" i="1" s="1"/>
  <c r="J621" i="1" s="1"/>
  <c r="C38" i="10"/>
  <c r="H672" i="1" l="1"/>
  <c r="C6" i="10" s="1"/>
  <c r="G667" i="1"/>
  <c r="D33" i="13"/>
  <c r="D36" i="13" s="1"/>
  <c r="C145" i="2"/>
  <c r="I660" i="1"/>
  <c r="I664" i="1" s="1"/>
  <c r="I672" i="1" s="1"/>
  <c r="C7" i="10" s="1"/>
  <c r="D12" i="10"/>
  <c r="D20" i="10"/>
  <c r="D27" i="10"/>
  <c r="D13" i="10"/>
  <c r="D18" i="10"/>
  <c r="D10" i="10"/>
  <c r="D15" i="10"/>
  <c r="D11" i="10"/>
  <c r="D17" i="10"/>
  <c r="D25" i="10"/>
  <c r="D21" i="10"/>
  <c r="D22" i="10"/>
  <c r="D26" i="10"/>
  <c r="C30" i="10"/>
  <c r="D16" i="10"/>
  <c r="D19" i="10"/>
  <c r="D23" i="10"/>
  <c r="G637" i="1"/>
  <c r="J637" i="1" s="1"/>
  <c r="H646" i="1"/>
  <c r="J646" i="1" s="1"/>
  <c r="F672" i="1"/>
  <c r="C4" i="10" s="1"/>
  <c r="F667" i="1"/>
  <c r="C41" i="10"/>
  <c r="D38" i="10" s="1"/>
  <c r="H656" i="1" l="1"/>
  <c r="I667" i="1"/>
  <c r="D28" i="10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<sst xmlns="http://schemas.openxmlformats.org/spreadsheetml/2006/main" count="3964" uniqueCount="922">
  <si>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</si>
  <si>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</si>
  <si>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</si>
  <si>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</si>
  <si>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</si>
  <si>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</si>
  <si>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</si>
  <si>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</si>
  <si>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</si>
  <si>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</si>
  <si>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</si>
  <si>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</si>
  <si>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</si>
  <si>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</si>
  <si>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</si>
  <si>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</si>
  <si>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</si>
  <si>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</si>
  <si>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</si>
  <si>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</si>
  <si>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</si>
  <si>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</si>
  <si>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</si>
  <si>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</si>
  <si>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</si>
  <si>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</si>
  <si>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</si>
  <si>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</si>
  <si>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</si>
  <si>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</si>
  <si>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</si>
  <si>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</si>
  <si>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</si>
  <si>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</si>
  <si>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</si>
  <si>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</si>
  <si>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</si>
  <si>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</si>
  <si>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</si>
  <si>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</si>
  <si>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</si>
  <si>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</si>
  <si>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</si>
  <si>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</si>
  <si>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</si>
  <si>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</si>
  <si>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</si>
  <si>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</si>
  <si>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</si>
  <si>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</si>
  <si>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</si>
  <si>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</si>
  <si>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</si>
  <si>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</si>
  <si>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</si>
  <si>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</si>
  <si>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</si>
  <si>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</si>
  <si>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</si>
  <si>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</si>
  <si>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</si>
  <si>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</si>
  <si>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</si>
  <si>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</si>
  <si>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</si>
  <si>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</si>
  <si>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</si>
  <si>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</si>
  <si>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</si>
  <si>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</si>
  <si>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</si>
  <si>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</si>
  <si>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</si>
  <si>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</si>
  <si>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</si>
  <si>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</si>
  <si>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</si>
  <si>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</si>
  <si>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</si>
  <si>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</si>
  <si>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</si>
  <si>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</si>
  <si>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</si>
  <si>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</si>
  <si>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</si>
  <si>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</si>
  <si>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</si>
  <si>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</si>
  <si>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</si>
  <si>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</si>
  <si>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</si>
  <si>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</si>
  <si>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</si>
  <si>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</si>
  <si>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</si>
  <si>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</si>
  <si>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</si>
  <si>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</si>
  <si>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</si>
  <si>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</si>
  <si>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</si>
  <si>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</si>
  <si>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</si>
  <si>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</si>
  <si>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</si>
  <si>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</si>
  <si>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</si>
  <si>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</si>
  <si>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</si>
  <si>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</si>
  <si>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</si>
  <si>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</si>
  <si>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</si>
  <si>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</si>
  <si>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</si>
  <si>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</si>
  <si>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</si>
  <si>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</si>
  <si>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</si>
  <si>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</si>
  <si>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</si>
  <si>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</si>
  <si>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</si>
  <si>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</si>
  <si>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</si>
  <si>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</si>
  <si>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</si>
  <si>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</si>
  <si>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</si>
  <si>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</si>
  <si>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</si>
  <si>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</si>
  <si>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</si>
  <si>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</si>
  <si>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</si>
  <si>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</si>
  <si>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</si>
  <si>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</si>
  <si>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</si>
  <si>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</si>
  <si>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</si>
  <si>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</si>
  <si>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</si>
  <si>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</si>
  <si>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</si>
  <si>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</si>
  <si>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</si>
  <si>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</si>
  <si>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</si>
  <si>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</si>
  <si>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</si>
  <si>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</si>
  <si>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</si>
  <si>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</si>
  <si>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</si>
  <si>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</si>
  <si>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</si>
  <si>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</si>
  <si>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</si>
  <si>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</si>
  <si>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</si>
  <si>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</si>
  <si>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</si>
  <si>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</si>
  <si>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</si>
  <si>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</si>
  <si>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</si>
  <si>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</si>
  <si>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</si>
  <si>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</si>
  <si>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</si>
  <si>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</si>
  <si>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</si>
  <si>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</si>
  <si>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</si>
  <si>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</si>
  <si>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</si>
  <si>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</si>
  <si>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</si>
  <si>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</si>
  <si>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</si>
  <si>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</si>
  <si>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</si>
  <si>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</si>
  <si>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</si>
  <si>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</si>
  <si>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</si>
  <si>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</si>
  <si>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</si>
  <si>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</si>
  <si>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</si>
  <si>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</si>
  <si>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</si>
  <si>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</si>
  <si>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</si>
  <si>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</si>
  <si>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</si>
  <si>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</si>
  <si>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</si>
  <si>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</si>
  <si>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</si>
  <si>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</si>
  <si>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</si>
  <si>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</si>
  <si>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</si>
  <si>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</si>
  <si>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</si>
  <si>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</si>
  <si>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</si>
  <si>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</si>
  <si>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</si>
  <si>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</si>
  <si>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</si>
  <si>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</si>
  <si>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</si>
  <si>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</si>
  <si>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</si>
  <si>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</si>
  <si>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</si>
  <si>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</si>
  <si>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</si>
  <si>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</si>
  <si>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</si>
  <si>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</si>
  <si>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</si>
  <si>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</si>
  <si>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</si>
  <si>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</si>
  <si>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</si>
  <si>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</si>
  <si>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</si>
  <si>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</si>
  <si>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</si>
  <si>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</si>
  <si>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</si>
  <si>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</si>
  <si>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</si>
  <si>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</si>
  <si>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</si>
  <si>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</si>
  <si>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</si>
  <si>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</si>
  <si>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</si>
  <si>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</si>
  <si>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</si>
  <si>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</si>
  <si>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</si>
  <si>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</si>
  <si>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</si>
  <si>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</si>
  <si>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</si>
  <si>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</si>
  <si>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</si>
  <si>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</si>
  <si>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</si>
  <si>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</si>
  <si>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</si>
  <si>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</si>
  <si>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</si>
  <si>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</si>
  <si>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</si>
  <si>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</si>
  <si>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</si>
  <si>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</si>
  <si>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</si>
  <si>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</si>
  <si>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</si>
  <si>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</si>
  <si>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</si>
  <si>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</si>
  <si>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</si>
  <si>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</si>
  <si>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</si>
  <si>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</si>
  <si>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</si>
  <si>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</si>
  <si>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</si>
  <si>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</si>
  <si>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</si>
  <si>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</si>
  <si>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</si>
  <si>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</si>
  <si>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</si>
  <si>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</si>
  <si>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</si>
  <si>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</si>
  <si>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</si>
  <si>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</si>
  <si>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</si>
  <si>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</si>
  <si>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</si>
  <si>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</si>
  <si>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</si>
  <si>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</si>
  <si>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</si>
  <si>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</si>
  <si>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</si>
  <si>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</si>
  <si>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</si>
  <si>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</si>
  <si>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</si>
  <si>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</si>
  <si>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</si>
  <si>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</si>
  <si>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</si>
  <si>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</si>
  <si>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</si>
  <si>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</si>
  <si>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</si>
  <si>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</si>
  <si>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</si>
  <si>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</si>
  <si>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</si>
  <si>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</si>
  <si>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</si>
  <si>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</si>
  <si>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</si>
  <si>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</si>
  <si>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</si>
  <si>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</si>
  <si>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</si>
  <si>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</si>
  <si>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</si>
  <si>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</si>
  <si>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</si>
  <si>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</si>
  <si>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</si>
  <si>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</si>
  <si>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</si>
  <si>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</si>
  <si>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</si>
  <si>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</si>
  <si>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</si>
  <si>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</si>
  <si>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</si>
  <si>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</si>
  <si>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</si>
  <si>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</si>
  <si>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</si>
  <si>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</si>
  <si>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</si>
  <si>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</si>
  <si>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</si>
  <si>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</si>
  <si>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</si>
  <si>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</si>
  <si>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</si>
  <si>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</si>
  <si>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</si>
  <si>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</si>
  <si>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</si>
  <si>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</si>
  <si>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</si>
  <si>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</si>
  <si>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</si>
  <si>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</si>
  <si>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</si>
  <si>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</si>
  <si>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</si>
  <si>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</si>
  <si>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</si>
  <si>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</si>
  <si>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</si>
  <si>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</si>
  <si>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</si>
  <si>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</si>
  <si>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</si>
  <si>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</si>
  <si>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</si>
  <si>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</si>
  <si>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</si>
  <si>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</si>
  <si>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</si>
  <si>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</si>
  <si>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</si>
  <si>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</si>
  <si>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</si>
  <si>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</si>
  <si>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</si>
  <si>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</si>
  <si>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</si>
  <si>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</si>
  <si>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</si>
  <si>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</si>
  <si>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</si>
  <si>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</si>
  <si>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</si>
  <si>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</si>
  <si>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</si>
  <si>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</si>
  <si>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</si>
  <si>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</si>
  <si>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</si>
  <si>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</si>
  <si>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</si>
  <si>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</si>
  <si>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</si>
  <si>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</si>
  <si>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</si>
  <si>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</si>
  <si>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</si>
  <si>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</si>
  <si>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</si>
  <si>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</si>
  <si>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</si>
  <si>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</si>
  <si>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</si>
  <si>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</si>
  <si>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</si>
  <si>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</si>
  <si>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</si>
  <si>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</si>
  <si>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</si>
  <si>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</si>
  <si>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</si>
  <si>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</si>
  <si>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</si>
  <si>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</si>
  <si>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</si>
  <si>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</si>
  <si>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</si>
  <si>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</si>
  <si>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</si>
  <si>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</si>
  <si>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</si>
  <si>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</si>
  <si>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</si>
  <si>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</si>
  <si>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</si>
  <si>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</si>
  <si>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</si>
  <si>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</si>
  <si>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</si>
  <si>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</si>
  <si>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</si>
  <si>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</si>
  <si>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</si>
  <si>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</si>
  <si>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</si>
  <si>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</si>
  <si>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</si>
  <si>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</si>
  <si>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</si>
  <si>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</si>
  <si>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</si>
  <si>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</si>
  <si>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</si>
  <si>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</si>
  <si>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</si>
  <si>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</si>
  <si>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</si>
  <si>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</si>
  <si>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</si>
  <si>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</si>
  <si>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</si>
  <si>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</si>
  <si>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</si>
  <si>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</si>
  <si>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</si>
  <si>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</si>
  <si>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</si>
  <si>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</si>
  <si>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</si>
  <si>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</si>
  <si>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</si>
  <si>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</si>
  <si>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</si>
  <si>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</si>
  <si>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</si>
  <si>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</si>
  <si>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</si>
  <si>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</si>
  <si>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</si>
  <si>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</si>
  <si>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</si>
  <si>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</si>
  <si>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</si>
  <si>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</si>
  <si>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</si>
  <si>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</si>
  <si>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</si>
  <si>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</si>
  <si>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</si>
  <si>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</si>
  <si>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</si>
  <si>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</si>
  <si>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</si>
  <si>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</si>
  <si>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</si>
  <si>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</si>
  <si>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</si>
  <si>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</si>
  <si>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</si>
  <si>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</si>
  <si>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</si>
  <si>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</si>
  <si>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</si>
  <si>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</si>
  <si>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</si>
  <si>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</si>
  <si>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</si>
  <si>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</si>
  <si>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</si>
  <si>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</si>
  <si>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</si>
  <si>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</si>
  <si>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</si>
  <si>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</si>
  <si>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</si>
  <si>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</si>
  <si>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</si>
  <si>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</si>
  <si>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</si>
  <si>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</si>
  <si>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</si>
  <si>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</si>
  <si>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</si>
  <si>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</si>
  <si>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</si>
  <si>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</si>
  <si>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</si>
  <si>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</si>
  <si>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</si>
  <si>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</si>
  <si>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</si>
  <si>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</si>
  <si>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</si>
  <si>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</si>
  <si>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</si>
  <si>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</si>
  <si>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</si>
  <si>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</si>
  <si>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</si>
  <si>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</si>
  <si>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</si>
  <si>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</si>
  <si>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</si>
  <si>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</si>
  <si>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</si>
  <si>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</si>
  <si>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</si>
  <si>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</si>
  <si>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</si>
  <si>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</si>
  <si>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</si>
  <si>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</si>
  <si>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</si>
  <si>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</si>
  <si>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</si>
  <si>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</si>
  <si>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</si>
  <si>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</si>
  <si>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</si>
  <si>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</si>
  <si>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</si>
  <si>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</si>
  <si>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</si>
  <si>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</si>
  <si>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</si>
  <si>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</si>
  <si>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</si>
  <si>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</si>
  <si>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</si>
  <si>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</si>
  <si>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</si>
  <si>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</si>
  <si>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</si>
  <si>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</si>
  <si>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</si>
  <si>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</si>
  <si>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</si>
  <si>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</si>
  <si>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</si>
  <si>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</si>
  <si>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</si>
  <si>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</si>
  <si>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</si>
  <si>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</si>
  <si>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</si>
  <si>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</si>
  <si>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</si>
  <si>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</si>
  <si>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</si>
  <si>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</si>
  <si>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</si>
  <si>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</si>
  <si>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</si>
  <si>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</si>
  <si>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</si>
  <si>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</si>
  <si>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</si>
  <si>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</si>
  <si>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</si>
  <si>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</si>
  <si>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</si>
  <si>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</si>
  <si>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</si>
  <si>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</si>
  <si>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</si>
  <si>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</si>
  <si>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</si>
  <si>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</si>
  <si>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</si>
  <si>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</si>
  <si>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</si>
  <si>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</si>
  <si>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</si>
  <si>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</si>
  <si>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</si>
  <si>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</si>
  <si>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</si>
  <si>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</si>
  <si>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</si>
  <si>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</si>
  <si>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</si>
  <si>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</si>
  <si>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</si>
  <si>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</si>
  <si>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</si>
  <si>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</si>
  <si>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</si>
  <si>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</si>
  <si>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</si>
  <si>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</si>
  <si>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</si>
  <si>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</si>
  <si>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</si>
  <si>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</si>
  <si>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</si>
  <si>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</si>
  <si>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</si>
  <si>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</si>
  <si>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</si>
  <si>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</si>
  <si>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</si>
  <si>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</si>
  <si>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</si>
  <si>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</si>
  <si>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</si>
  <si>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</si>
  <si>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</si>
  <si>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</si>
  <si>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</si>
  <si>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</si>
  <si>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</si>
  <si>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</si>
  <si>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</si>
  <si>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</si>
  <si>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</si>
  <si>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</si>
  <si>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</si>
  <si>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</si>
  <si>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</si>
  <si>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</si>
  <si>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</si>
  <si>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</si>
  <si>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</si>
  <si>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</si>
  <si>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</si>
  <si>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</si>
  <si>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</si>
  <si>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</si>
  <si>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</si>
  <si>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</si>
  <si>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</si>
  <si>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</si>
  <si>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</si>
  <si>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</si>
  <si>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</si>
  <si>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</si>
  <si>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</si>
  <si>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</si>
  <si>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</si>
  <si>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</si>
  <si>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</si>
  <si>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</si>
  <si>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</si>
  <si>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</si>
  <si>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</si>
  <si>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</si>
  <si>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</si>
  <si>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</si>
  <si>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</si>
  <si>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</si>
  <si>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</si>
  <si>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</si>
  <si>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</si>
  <si>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</si>
  <si>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</si>
  <si>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</si>
  <si>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</si>
  <si>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</si>
  <si>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</si>
  <si>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</si>
  <si>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</si>
  <si>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</si>
  <si>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</si>
  <si>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</si>
  <si>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</si>
  <si>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</si>
  <si>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</si>
  <si>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</si>
  <si>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</si>
  <si>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</si>
  <si>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</si>
  <si>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</si>
  <si>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</si>
  <si>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</si>
  <si>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</si>
  <si>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</si>
  <si>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</si>
  <si>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</si>
  <si>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</si>
  <si>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</si>
  <si>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</si>
  <si>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</si>
  <si>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</si>
  <si>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</si>
  <si>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</si>
  <si>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</si>
  <si>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</si>
  <si>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</si>
  <si>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</si>
  <si>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</si>
  <si>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</si>
  <si>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</si>
  <si>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</si>
  <si>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</si>
  <si>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</si>
  <si>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</si>
  <si>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</si>
  <si>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</si>
  <si>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</si>
  <si>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</si>
  <si>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</si>
  <si>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</si>
  <si>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</si>
  <si>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</si>
  <si>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</si>
  <si>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</si>
  <si>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</si>
  <si>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</si>
  <si>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</si>
  <si>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</si>
  <si>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</si>
  <si>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</si>
  <si>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</si>
  <si>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</si>
  <si>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</si>
  <si>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</si>
  <si>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</si>
  <si>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</si>
  <si>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</si>
  <si>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</si>
  <si>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</si>
  <si>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</si>
  <si>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</si>
  <si>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</si>
  <si>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</si>
  <si>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</si>
  <si>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</si>
  <si>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</si>
  <si>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</si>
  <si>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</si>
  <si>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</si>
  <si>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</si>
  <si>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</si>
  <si>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</si>
  <si>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</si>
  <si>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</si>
  <si>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</si>
  <si>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</si>
  <si>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</si>
  <si>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</si>
  <si>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</si>
  <si>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</si>
  <si>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</si>
  <si>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</si>
  <si>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</si>
  <si>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</si>
  <si>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</si>
  <si>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</si>
  <si>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</si>
  <si>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</si>
  <si>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</si>
  <si>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</si>
  <si>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</si>
  <si>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</si>
  <si>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</si>
  <si>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</si>
  <si>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</si>
  <si>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</si>
  <si>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</si>
  <si>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</si>
  <si>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</si>
  <si>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</si>
  <si>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</si>
  <si>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</si>
  <si>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</si>
  <si>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</si>
  <si>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</si>
  <si>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</si>
  <si>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</si>
  <si>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</si>
  <si>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</si>
  <si>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</si>
  <si>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</si>
  <si>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</si>
  <si>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</si>
  <si>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</si>
  <si>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</si>
  <si>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</si>
  <si>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</si>
  <si>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</si>
  <si>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</si>
  <si>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</si>
  <si>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</si>
  <si>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</si>
  <si>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</si>
  <si>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</si>
  <si>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</si>
  <si>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</si>
  <si>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</si>
  <si>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</si>
  <si>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</si>
  <si>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</si>
  <si>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</si>
  <si>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</si>
  <si>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</si>
  <si>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</si>
  <si>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</si>
  <si>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</si>
  <si>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</si>
  <si>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</si>
  <si>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</si>
  <si>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</si>
  <si>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</si>
  <si>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</si>
  <si>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</si>
  <si>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</si>
  <si>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</si>
  <si>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</si>
  <si>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</si>
  <si>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</si>
  <si>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</si>
  <si>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</si>
  <si>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</si>
  <si>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</si>
  <si>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</si>
  <si>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</si>
  <si>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</si>
  <si>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</si>
  <si>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</si>
  <si>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</si>
  <si>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</si>
  <si>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</si>
  <si>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</si>
  <si>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</si>
  <si>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</si>
  <si>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</si>
  <si>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</si>
  <si>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</si>
  <si>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</si>
  <si>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</si>
  <si>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</si>
  <si>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</si>
  <si>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</si>
  <si>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</si>
  <si>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</si>
  <si>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</si>
  <si>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</si>
  <si>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</si>
  <si>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</si>
  <si>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</si>
  <si>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</si>
  <si>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</si>
  <si>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</si>
  <si>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</si>
  <si>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</si>
  <si>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</si>
  <si>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</si>
  <si>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</si>
  <si>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</si>
  <si>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</si>
  <si>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</si>
  <si>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</si>
  <si>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</si>
  <si>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</si>
  <si>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</si>
  <si>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</si>
  <si>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>DOE 25  2013-2014</t>
  </si>
  <si>
    <t>TOTAL FUND EQUITY, JULY 1, 2013</t>
  </si>
  <si>
    <t xml:space="preserve">Total Fund Equity June 30, 2014**** </t>
  </si>
  <si>
    <t>For the Fiscal Year Ending on June 30, 2014</t>
  </si>
  <si>
    <t>For Fiscal Year Ending June 30, 2014</t>
  </si>
  <si>
    <t>Indirect Cost Rate to be determine at later date for FY2015-2016</t>
  </si>
  <si>
    <t>2013-2014 Current Expenditure Per Pupil(in dollars)</t>
  </si>
  <si>
    <t>2013-14-Current Expenditure Per Pupil</t>
  </si>
  <si>
    <t>2013-14-Total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</si>
  <si>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</si>
  <si>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</si>
  <si>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</si>
  <si>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</si>
  <si>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</si>
  <si>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</si>
  <si>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</si>
  <si>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</si>
  <si>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</si>
  <si>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</si>
  <si>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</si>
  <si>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</si>
  <si>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Haverhill Coop</t>
  </si>
  <si>
    <t>08/03</t>
  </si>
  <si>
    <t>07/05</t>
  </si>
  <si>
    <t>03/09</t>
  </si>
  <si>
    <t>11/08</t>
  </si>
  <si>
    <t>02/12</t>
  </si>
  <si>
    <t>08/18</t>
  </si>
  <si>
    <t>07/21</t>
  </si>
  <si>
    <t>03/19</t>
  </si>
  <si>
    <t>11/22</t>
  </si>
  <si>
    <t>02/17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</si>
</sst>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9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40" fontId="2" fillId="0" borderId="0" xfId="0" applyNumberFormat="1" applyFont="1" applyProtection="1">
      <protection locked="0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40" fontId="2" fillId="0" borderId="0" xfId="0" applyNumberFormat="1" applyFont="1" applyProtection="1">
      <protection locked="0"/>
    </xf>
    <xf numFmtId="40" fontId="2" fillId="0" borderId="5" xfId="0" applyNumberFormat="1" applyFont="1" applyBorder="1" applyProtection="1">
      <protection locked="0"/>
    </xf>
    <xf numFmtId="40" fontId="2" fillId="0" borderId="0" xfId="0" applyNumberFormat="1" applyFont="1" applyProtection="1">
      <protection locked="0"/>
    </xf>
    <xf numFmtId="40" fontId="2" fillId="0" borderId="5" xfId="0" applyNumberFormat="1" applyFont="1" applyBorder="1" applyProtection="1">
      <protection locked="0"/>
    </xf>
    <xf numFmtId="40" fontId="2" fillId="0" borderId="0" xfId="0" applyNumberFormat="1" applyFont="1" applyProtection="1">
      <protection locked="0"/>
    </xf>
    <xf numFmtId="40" fontId="2" fillId="0" borderId="0" xfId="0" applyNumberFormat="1" applyFont="1" applyProtection="1">
      <protection locked="0"/>
    </xf>
    <xf numFmtId="40" fontId="2" fillId="0" borderId="0" xfId="0" applyNumberFormat="1" applyFont="1" applyProtection="1">
      <protection locked="0"/>
    </xf>
    <xf numFmtId="40" fontId="2" fillId="0" borderId="0" xfId="0" applyNumberFormat="1" applyFont="1" applyProtection="1">
      <protection locked="0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>
    <tabColor indexed="56"/>
  </sheetPr>
  <dimension ref="A1:AQ676"/>
  <sheetViews>
    <sheetView tabSelected="1" zoomScaleNormal="100" workbookViewId="0">
      <pane xSplit="5" ySplit="3" topLeftCell="F639" activePane="bottomRight" state="frozen"/>
      <selection pane="topRight" activeCell="F1" sqref="F1"/>
      <selection pane="bottomLeft" activeCell="A4" sqref="A4"/>
      <selection pane="bottomRight" activeCell="H671" sqref="H671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890</v>
      </c>
      <c r="I1" s="13"/>
      <c r="J1" s="13"/>
      <c r="K1" s="13"/>
      <c r="L1" s="13"/>
    </row>
    <row r="2" spans="1:14" s="3" customFormat="1" ht="12" customHeight="1" x14ac:dyDescent="0.2">
      <c r="A2" s="174" t="s">
        <v>911</v>
      </c>
      <c r="B2" s="21">
        <v>238</v>
      </c>
      <c r="C2" s="21">
        <v>0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2" t="s">
        <v>281</v>
      </c>
      <c r="G6" s="222" t="s">
        <v>282</v>
      </c>
      <c r="H6" s="222" t="s">
        <v>283</v>
      </c>
      <c r="I6" s="222" t="s">
        <v>284</v>
      </c>
      <c r="J6" s="222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2"/>
      <c r="G7" s="223"/>
      <c r="H7" s="222" t="s">
        <v>772</v>
      </c>
      <c r="I7" s="223"/>
      <c r="J7" s="223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f>15445.68+550</f>
        <v>15995.68</v>
      </c>
      <c r="G9" s="18"/>
      <c r="H9" s="18"/>
      <c r="I9" s="18"/>
      <c r="J9" s="67">
        <f>SUM(I439)</f>
        <v>0</v>
      </c>
      <c r="K9" s="24" t="s">
        <v>289</v>
      </c>
      <c r="L9" s="24" t="s">
        <v>289</v>
      </c>
      <c r="M9" s="8"/>
      <c r="N9" s="269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SUM(I440)</f>
        <v>80000</v>
      </c>
      <c r="K10" s="24" t="s">
        <v>289</v>
      </c>
      <c r="L10" s="24" t="s">
        <v>289</v>
      </c>
      <c r="M10" s="8"/>
      <c r="N10" s="269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69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/>
      <c r="G12" s="18"/>
      <c r="H12" s="18"/>
      <c r="I12" s="18"/>
      <c r="J12" s="67">
        <f>SUM(I441)</f>
        <v>0</v>
      </c>
      <c r="K12" s="24" t="s">
        <v>289</v>
      </c>
      <c r="L12" s="24" t="s">
        <v>289</v>
      </c>
      <c r="M12" s="8"/>
      <c r="N12" s="269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447300.99</v>
      </c>
      <c r="G13" s="18">
        <v>29316.33</v>
      </c>
      <c r="H13" s="18">
        <v>105995.42</v>
      </c>
      <c r="I13" s="18">
        <v>4563.46</v>
      </c>
      <c r="J13" s="67">
        <f>SUM(I442)</f>
        <v>0</v>
      </c>
      <c r="K13" s="24" t="s">
        <v>289</v>
      </c>
      <c r="L13" s="24" t="s">
        <v>289</v>
      </c>
      <c r="M13" s="8"/>
      <c r="N13" s="269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7933.11</v>
      </c>
      <c r="G14" s="18">
        <f>19176.89-605</f>
        <v>18571.89</v>
      </c>
      <c r="H14" s="18"/>
      <c r="I14" s="18"/>
      <c r="J14" s="67">
        <f>SUM(I443)</f>
        <v>0</v>
      </c>
      <c r="K14" s="24" t="s">
        <v>289</v>
      </c>
      <c r="L14" s="24" t="s">
        <v>289</v>
      </c>
      <c r="M14" s="8"/>
      <c r="N14" s="269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69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69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>
        <v>5613.95</v>
      </c>
      <c r="G17" s="18"/>
      <c r="H17" s="18"/>
      <c r="I17" s="18"/>
      <c r="J17" s="67">
        <f>SUM(I444)</f>
        <v>0</v>
      </c>
      <c r="K17" s="24" t="s">
        <v>289</v>
      </c>
      <c r="L17" s="24" t="s">
        <v>289</v>
      </c>
      <c r="M17" s="8"/>
      <c r="N17" s="269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>
        <v>3129.58</v>
      </c>
      <c r="G18" s="18"/>
      <c r="H18" s="145">
        <v>6250.1</v>
      </c>
      <c r="I18" s="18"/>
      <c r="J18" s="67">
        <f>SUM(I445)</f>
        <v>0</v>
      </c>
      <c r="K18" s="24" t="s">
        <v>289</v>
      </c>
      <c r="L18" s="24" t="s">
        <v>289</v>
      </c>
      <c r="M18" s="8"/>
      <c r="N18" s="269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479973.31</v>
      </c>
      <c r="G19" s="41">
        <f>SUM(G9:G18)</f>
        <v>47888.22</v>
      </c>
      <c r="H19" s="41">
        <f>SUM(H9:H18)</f>
        <v>112245.52</v>
      </c>
      <c r="I19" s="41">
        <f>SUM(I9:I18)</f>
        <v>4563.46</v>
      </c>
      <c r="J19" s="41">
        <f>SUM(J9:J18)</f>
        <v>80000</v>
      </c>
      <c r="K19" s="45" t="s">
        <v>289</v>
      </c>
      <c r="L19" s="45" t="s">
        <v>289</v>
      </c>
      <c r="M19" s="8"/>
      <c r="N19" s="269"/>
    </row>
    <row r="20" spans="1:14" s="3" customFormat="1" ht="12" customHeight="1" x14ac:dyDescent="0.15">
      <c r="A20" s="1" t="s">
        <v>455</v>
      </c>
      <c r="C20" s="157"/>
      <c r="F20" s="13"/>
      <c r="G20" s="13"/>
      <c r="H20" s="13"/>
      <c r="I20" s="13"/>
      <c r="J20" s="13"/>
      <c r="K20" s="13"/>
      <c r="L20" s="13"/>
      <c r="M20" s="8"/>
      <c r="N20" s="269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69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>
        <v>106862.1</v>
      </c>
      <c r="G22" s="18">
        <v>29530.31</v>
      </c>
      <c r="H22" s="18">
        <f>83780.3+3125.05</f>
        <v>86905.35</v>
      </c>
      <c r="I22" s="18">
        <v>3323.46</v>
      </c>
      <c r="J22" s="67">
        <f>SUM(I448)</f>
        <v>0</v>
      </c>
      <c r="K22" s="24" t="s">
        <v>289</v>
      </c>
      <c r="L22" s="24" t="s">
        <v>289</v>
      </c>
      <c r="M22" s="8"/>
      <c r="N22" s="269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/>
      <c r="I23" s="18"/>
      <c r="J23" s="67">
        <f>SUM(I449)</f>
        <v>80000</v>
      </c>
      <c r="K23" s="24" t="s">
        <v>289</v>
      </c>
      <c r="L23" s="24" t="s">
        <v>289</v>
      </c>
      <c r="M23" s="8"/>
      <c r="N23" s="269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f>100463.06+8984.59</f>
        <v>109447.65</v>
      </c>
      <c r="G24" s="18">
        <f>1.25</f>
        <v>1.25</v>
      </c>
      <c r="H24" s="18">
        <v>19.329999999999998</v>
      </c>
      <c r="I24" s="18">
        <v>1240</v>
      </c>
      <c r="J24" s="67">
        <f>SUM(I450)</f>
        <v>0</v>
      </c>
      <c r="K24" s="24" t="s">
        <v>289</v>
      </c>
      <c r="L24" s="24" t="s">
        <v>289</v>
      </c>
      <c r="M24" s="8"/>
      <c r="N24" s="269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69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69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69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>
        <v>687.35</v>
      </c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69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>
        <f>870.88+21.24+14.1+500</f>
        <v>1406.22</v>
      </c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69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/>
      <c r="H30" s="18">
        <v>19471.04</v>
      </c>
      <c r="I30" s="18"/>
      <c r="J30" s="24" t="s">
        <v>289</v>
      </c>
      <c r="K30" s="24" t="s">
        <v>289</v>
      </c>
      <c r="L30" s="24" t="s">
        <v>289</v>
      </c>
      <c r="M30" s="8"/>
      <c r="N30" s="269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289</v>
      </c>
      <c r="L31" s="24" t="s">
        <v>289</v>
      </c>
      <c r="M31" s="8"/>
      <c r="N31" s="269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218403.32</v>
      </c>
      <c r="G32" s="41">
        <f>SUM(G22:G31)</f>
        <v>29531.56</v>
      </c>
      <c r="H32" s="41">
        <f>SUM(H22:H31)</f>
        <v>106395.72</v>
      </c>
      <c r="I32" s="41">
        <f>SUM(I22:I31)</f>
        <v>4563.46</v>
      </c>
      <c r="J32" s="41">
        <f>SUM(J22:J31)</f>
        <v>80000</v>
      </c>
      <c r="K32" s="45" t="s">
        <v>289</v>
      </c>
      <c r="L32" s="45" t="s">
        <v>289</v>
      </c>
      <c r="M32" s="8"/>
      <c r="N32" s="269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69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69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69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69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289</v>
      </c>
      <c r="L37" s="24" t="s">
        <v>289</v>
      </c>
      <c r="M37" s="8"/>
      <c r="N37" s="269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69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289</v>
      </c>
      <c r="L39" s="24" t="s">
        <v>289</v>
      </c>
      <c r="M39" s="8"/>
      <c r="N39" s="269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69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69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69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>
        <v>18356.66</v>
      </c>
      <c r="H43" s="18"/>
      <c r="I43" s="18"/>
      <c r="J43" s="13">
        <f>SUM(I456)</f>
        <v>0</v>
      </c>
      <c r="K43" s="24" t="s">
        <v>289</v>
      </c>
      <c r="L43" s="24" t="s">
        <v>289</v>
      </c>
      <c r="M43" s="8"/>
      <c r="N43" s="269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>
        <v>75000</v>
      </c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69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289</v>
      </c>
      <c r="L45" s="24" t="s">
        <v>289</v>
      </c>
      <c r="M45" s="8"/>
      <c r="N45" s="269"/>
    </row>
    <row r="46" spans="1:14" s="3" customFormat="1" ht="12" customHeight="1" x14ac:dyDescent="0.15">
      <c r="A46" s="1" t="s">
        <v>899</v>
      </c>
      <c r="B46" s="6">
        <v>1</v>
      </c>
      <c r="C46" s="6">
        <v>32</v>
      </c>
      <c r="D46" s="2"/>
      <c r="E46" s="6"/>
      <c r="F46" s="18"/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69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69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>
        <v>0</v>
      </c>
      <c r="G48" s="18"/>
      <c r="H48" s="18">
        <v>5849.8</v>
      </c>
      <c r="I48" s="18"/>
      <c r="J48" s="13">
        <f>SUM(I459)</f>
        <v>0</v>
      </c>
      <c r="K48" s="24" t="s">
        <v>289</v>
      </c>
      <c r="L48" s="24" t="s">
        <v>289</v>
      </c>
      <c r="M48" s="8"/>
      <c r="N48" s="269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>
        <v>39846.660000000003</v>
      </c>
      <c r="G49" s="18"/>
      <c r="H49" s="18"/>
      <c r="I49" s="18"/>
      <c r="J49" s="13">
        <f>I454</f>
        <v>0</v>
      </c>
      <c r="K49" s="24"/>
      <c r="L49" s="24"/>
      <c r="M49" s="8"/>
      <c r="N49" s="269"/>
    </row>
    <row r="50" spans="1:14" s="3" customFormat="1" ht="12" customHeight="1" thickBot="1" x14ac:dyDescent="0.2">
      <c r="A50" s="29" t="s">
        <v>856</v>
      </c>
      <c r="B50" s="2" t="s">
        <v>290</v>
      </c>
      <c r="C50" s="71">
        <v>35</v>
      </c>
      <c r="D50" s="2" t="s">
        <v>657</v>
      </c>
      <c r="E50" s="6">
        <v>770</v>
      </c>
      <c r="F50" s="18">
        <f>163960.33-17237</f>
        <v>146723.32999999999</v>
      </c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69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261569.99</v>
      </c>
      <c r="G51" s="41">
        <f>SUM(G35:G50)</f>
        <v>18356.66</v>
      </c>
      <c r="H51" s="41">
        <f>SUM(H35:H50)</f>
        <v>5849.8</v>
      </c>
      <c r="I51" s="41">
        <f>SUM(I35:I50)</f>
        <v>0</v>
      </c>
      <c r="J51" s="41">
        <f>SUM(J35:J50)</f>
        <v>0</v>
      </c>
      <c r="K51" s="45" t="s">
        <v>289</v>
      </c>
      <c r="L51" s="45" t="s">
        <v>289</v>
      </c>
      <c r="N51" s="267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479973.31</v>
      </c>
      <c r="G52" s="41">
        <f>G51+G32</f>
        <v>47888.22</v>
      </c>
      <c r="H52" s="41">
        <f>H51+H32</f>
        <v>112245.52</v>
      </c>
      <c r="I52" s="41">
        <f>I51+I32</f>
        <v>4563.46</v>
      </c>
      <c r="J52" s="41">
        <f>J51+J32</f>
        <v>80000</v>
      </c>
      <c r="K52" s="45" t="s">
        <v>289</v>
      </c>
      <c r="L52" s="45" t="s">
        <v>289</v>
      </c>
      <c r="M52" s="8"/>
      <c r="N52" s="269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69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69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69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69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v>5636348</v>
      </c>
      <c r="G57" s="18"/>
      <c r="H57" s="18"/>
      <c r="I57" s="18"/>
      <c r="J57" s="18"/>
      <c r="K57" s="24" t="s">
        <v>289</v>
      </c>
      <c r="L57" s="24" t="s">
        <v>289</v>
      </c>
      <c r="M57" s="8"/>
      <c r="N57" s="269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/>
      <c r="G58" s="18"/>
      <c r="H58" s="24" t="s">
        <v>289</v>
      </c>
      <c r="I58" s="18"/>
      <c r="J58" s="24" t="s">
        <v>289</v>
      </c>
      <c r="K58" s="24" t="s">
        <v>289</v>
      </c>
      <c r="L58" s="24" t="s">
        <v>289</v>
      </c>
      <c r="M58" s="8"/>
      <c r="N58" s="269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/>
      <c r="G59" s="18"/>
      <c r="H59" s="18"/>
      <c r="I59" s="18"/>
      <c r="J59" s="18"/>
      <c r="K59" s="24" t="s">
        <v>289</v>
      </c>
      <c r="L59" s="24" t="s">
        <v>289</v>
      </c>
      <c r="M59" s="31"/>
      <c r="N59" s="270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5636348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0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69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69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/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69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>
        <v>2350</v>
      </c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69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>
        <v>25655</v>
      </c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0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/>
      <c r="G66" s="24" t="s">
        <v>289</v>
      </c>
      <c r="H66" s="18"/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69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69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>
        <v>1111851.8999999999</v>
      </c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69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>
        <v>193200.19</v>
      </c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69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/>
      <c r="G70" s="24" t="s">
        <v>289</v>
      </c>
      <c r="H70" s="18"/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69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69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69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69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/>
      <c r="G74" s="24" t="s">
        <v>289</v>
      </c>
      <c r="H74" s="18"/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69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69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69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69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/>
      <c r="G78" s="24" t="s">
        <v>289</v>
      </c>
      <c r="H78" s="18"/>
      <c r="I78" s="24" t="s">
        <v>289</v>
      </c>
      <c r="J78" s="24" t="s">
        <v>289</v>
      </c>
      <c r="K78" s="24" t="s">
        <v>289</v>
      </c>
      <c r="L78" s="24" t="s">
        <v>289</v>
      </c>
      <c r="N78" s="267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1333057.0899999999</v>
      </c>
      <c r="G79" s="45" t="s">
        <v>289</v>
      </c>
      <c r="H79" s="41">
        <f>SUM(H63:H78)</f>
        <v>0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/>
      <c r="N79" s="269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69"/>
    </row>
    <row r="81" spans="1:14" s="3" customFormat="1" ht="12" customHeight="1" x14ac:dyDescent="0.2">
      <c r="A81" s="168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69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69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69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/>
      <c r="G84" s="24" t="s">
        <v>289</v>
      </c>
      <c r="H84" s="18"/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69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69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69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69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/>
      <c r="G88" s="24" t="s">
        <v>289</v>
      </c>
      <c r="H88" s="18"/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69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69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69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69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69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/>
      <c r="G93" s="24" t="s">
        <v>289</v>
      </c>
      <c r="H93" s="18"/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69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0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69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69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>
        <f>1156.99+29234.75</f>
        <v>30391.74</v>
      </c>
      <c r="G96" s="18"/>
      <c r="H96" s="18"/>
      <c r="I96" s="18"/>
      <c r="J96" s="18"/>
      <c r="K96" s="24" t="s">
        <v>289</v>
      </c>
      <c r="L96" s="24" t="s">
        <v>289</v>
      </c>
      <c r="M96" s="8"/>
      <c r="N96" s="269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>
        <f>27467.16+53008.17+46908.17</f>
        <v>127383.5</v>
      </c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69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>
        <v>3404.02</v>
      </c>
      <c r="G98" s="24" t="s">
        <v>289</v>
      </c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69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/>
      <c r="G99" s="18"/>
      <c r="H99" s="18"/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69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69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>
        <v>9014.43</v>
      </c>
      <c r="G101" s="18"/>
      <c r="H101" s="18"/>
      <c r="I101" s="18"/>
      <c r="J101" s="24" t="s">
        <v>289</v>
      </c>
      <c r="K101" s="24" t="s">
        <v>289</v>
      </c>
      <c r="L101" s="24" t="s">
        <v>289</v>
      </c>
      <c r="M101" s="8"/>
      <c r="N101" s="269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>
        <v>695</v>
      </c>
      <c r="G102" s="4"/>
      <c r="H102" s="18">
        <f>257.64+359.49+940.78+4849.16+1896.49+50362.7+652.22+1000+2875.49+5000+10912.89</f>
        <v>79106.86</v>
      </c>
      <c r="I102" s="18"/>
      <c r="J102" s="18"/>
      <c r="K102" s="24" t="s">
        <v>289</v>
      </c>
      <c r="L102" s="24" t="s">
        <v>289</v>
      </c>
      <c r="M102" s="8"/>
      <c r="N102" s="269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/>
      <c r="G103" s="18"/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69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/>
      <c r="G104" s="24" t="s">
        <v>289</v>
      </c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69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>
        <v>7895.33</v>
      </c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69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/>
      <c r="G106" s="18"/>
      <c r="H106" s="18"/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69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69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69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>
        <v>95683.199999999997</v>
      </c>
      <c r="G109" s="18"/>
      <c r="H109" s="18"/>
      <c r="I109" s="18"/>
      <c r="J109" s="24" t="s">
        <v>289</v>
      </c>
      <c r="K109" s="24" t="s">
        <v>289</v>
      </c>
      <c r="L109" s="24" t="s">
        <v>289</v>
      </c>
      <c r="M109" s="8"/>
      <c r="N109" s="269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>
        <v>34460.699999999997</v>
      </c>
      <c r="G110" s="18">
        <f>950.9+2689.99+2592.64</f>
        <v>6233.53</v>
      </c>
      <c r="H110" s="18"/>
      <c r="I110" s="18"/>
      <c r="J110" s="18"/>
      <c r="K110" s="24" t="s">
        <v>289</v>
      </c>
      <c r="L110" s="24" t="s">
        <v>289</v>
      </c>
      <c r="M110" s="8"/>
      <c r="N110" s="269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181544.41999999998</v>
      </c>
      <c r="G111" s="41">
        <f>SUM(G96:G110)</f>
        <v>133617.03</v>
      </c>
      <c r="H111" s="41">
        <f>SUM(H96:H110)</f>
        <v>79106.86</v>
      </c>
      <c r="I111" s="41">
        <f>SUM(I96:I110)</f>
        <v>0</v>
      </c>
      <c r="J111" s="41">
        <f>SUM(J96:J110)</f>
        <v>0</v>
      </c>
      <c r="K111" s="45" t="s">
        <v>289</v>
      </c>
      <c r="L111" s="45" t="s">
        <v>289</v>
      </c>
      <c r="N111" s="267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7150949.5099999998</v>
      </c>
      <c r="G112" s="41">
        <f>G60+G111</f>
        <v>133617.03</v>
      </c>
      <c r="H112" s="41">
        <f>H60+H79+H94+H111</f>
        <v>79106.86</v>
      </c>
      <c r="I112" s="41">
        <f>I60+I111</f>
        <v>0</v>
      </c>
      <c r="J112" s="41">
        <f>J60+J111</f>
        <v>0</v>
      </c>
      <c r="K112" s="45" t="s">
        <v>289</v>
      </c>
      <c r="L112" s="45" t="s">
        <v>289</v>
      </c>
      <c r="M112" s="8"/>
      <c r="N112" s="269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69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69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69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69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>
        <v>4018022.79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69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v>833263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69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69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/>
      <c r="G120" s="18"/>
      <c r="H120" s="18"/>
      <c r="I120" s="18"/>
      <c r="J120" s="18"/>
      <c r="K120" s="24" t="s">
        <v>289</v>
      </c>
      <c r="L120" s="24" t="s">
        <v>289</v>
      </c>
      <c r="M120" s="8"/>
      <c r="N120" s="269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4851285.79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69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69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>
        <v>207512</v>
      </c>
      <c r="G123" s="24" t="s">
        <v>289</v>
      </c>
      <c r="H123" s="24" t="s">
        <v>289</v>
      </c>
      <c r="I123" s="18"/>
      <c r="J123" s="24" t="s">
        <v>289</v>
      </c>
      <c r="K123" s="24" t="s">
        <v>289</v>
      </c>
      <c r="L123" s="24" t="s">
        <v>289</v>
      </c>
      <c r="M123" s="8"/>
      <c r="N123" s="269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69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69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>
        <v>106375.01</v>
      </c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69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>
        <v>279111.44</v>
      </c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69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>
        <v>26705.64</v>
      </c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69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69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69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/>
      <c r="G131" s="24" t="s">
        <v>289</v>
      </c>
      <c r="H131" s="18"/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69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>
        <f>1046.83+1633.24+1083.04</f>
        <v>3763.1099999999997</v>
      </c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69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>
        <v>200</v>
      </c>
      <c r="G133" s="24" t="s">
        <v>289</v>
      </c>
      <c r="H133" s="18"/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69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/>
      <c r="I134" s="24"/>
      <c r="J134" s="24"/>
      <c r="K134" s="24"/>
      <c r="L134" s="24"/>
      <c r="M134" s="8"/>
      <c r="N134" s="269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/>
      <c r="G135" s="18"/>
      <c r="H135" s="18"/>
      <c r="I135" s="18"/>
      <c r="J135" s="18"/>
      <c r="K135" s="24" t="s">
        <v>289</v>
      </c>
      <c r="L135" s="24" t="s">
        <v>289</v>
      </c>
      <c r="M135" s="8"/>
      <c r="N135" s="269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619904.09</v>
      </c>
      <c r="G136" s="41">
        <f>SUM(G123:G135)</f>
        <v>3763.1099999999997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69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/>
      <c r="G137" s="18"/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69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/>
      <c r="G138" s="24" t="s">
        <v>289</v>
      </c>
      <c r="H138" s="18"/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69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69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5471189.8799999999</v>
      </c>
      <c r="G140" s="41">
        <f>G121+SUM(G136:G137)</f>
        <v>3763.1099999999997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69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69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69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1" t="s">
        <v>772</v>
      </c>
      <c r="I143" s="16" t="s">
        <v>284</v>
      </c>
      <c r="J143" s="16" t="s">
        <v>285</v>
      </c>
      <c r="K143" s="20"/>
      <c r="L143" s="20"/>
      <c r="M143" s="8"/>
      <c r="N143" s="269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69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69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/>
      <c r="G146" s="18"/>
      <c r="H146" s="18"/>
      <c r="I146" s="18"/>
      <c r="J146" s="24" t="s">
        <v>289</v>
      </c>
      <c r="K146" s="24" t="s">
        <v>289</v>
      </c>
      <c r="L146" s="24" t="s">
        <v>289</v>
      </c>
      <c r="M146" s="8"/>
      <c r="N146" s="269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69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69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69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69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69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/>
      <c r="G152" s="24" t="s">
        <v>289</v>
      </c>
      <c r="H152" s="18"/>
      <c r="I152" s="18"/>
      <c r="J152" s="24" t="s">
        <v>289</v>
      </c>
      <c r="K152" s="24" t="s">
        <v>289</v>
      </c>
      <c r="L152" s="24" t="s">
        <v>289</v>
      </c>
      <c r="M152" s="8"/>
      <c r="N152" s="269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69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>
        <f>1170+9576.58+242817.09</f>
        <v>253563.66999999998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69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>
        <f>354.24+14021.31+49941.4+74451.32+20000+2899.4+56077.5</f>
        <v>217745.17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69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69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/>
      <c r="G157" s="24" t="s">
        <v>289</v>
      </c>
      <c r="H157" s="18"/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69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>
        <f>11342.46+10007.2+45451.18+62443.57+46311.86</f>
        <v>175556.27000000002</v>
      </c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69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/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69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>
        <v>352526.28</v>
      </c>
      <c r="G160" s="24" t="s">
        <v>289</v>
      </c>
      <c r="H160" s="18"/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69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/>
      <c r="G161" s="18"/>
      <c r="H161" s="18"/>
      <c r="I161" s="18"/>
      <c r="J161" s="24" t="s">
        <v>289</v>
      </c>
      <c r="K161" s="24" t="s">
        <v>289</v>
      </c>
      <c r="L161" s="24" t="s">
        <v>289</v>
      </c>
      <c r="M161" s="8"/>
      <c r="N161" s="269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352526.28</v>
      </c>
      <c r="G162" s="41">
        <f>SUM(G150:G161)</f>
        <v>175556.27000000002</v>
      </c>
      <c r="H162" s="41">
        <f>SUM(H150:H161)</f>
        <v>471308.83999999997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69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/>
      <c r="G163" s="18"/>
      <c r="H163" s="18"/>
      <c r="I163" s="18"/>
      <c r="J163" s="24" t="s">
        <v>289</v>
      </c>
      <c r="K163" s="24" t="s">
        <v>289</v>
      </c>
      <c r="L163" s="24" t="s">
        <v>289</v>
      </c>
      <c r="M163" s="8"/>
      <c r="N163" s="269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69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>
        <v>1892.24</v>
      </c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69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/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69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69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/>
      <c r="G168" s="18"/>
      <c r="H168" s="18"/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69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354418.52</v>
      </c>
      <c r="G169" s="41">
        <f>G147+G162+SUM(G163:G168)</f>
        <v>175556.27000000002</v>
      </c>
      <c r="H169" s="41">
        <f>H147+H162+SUM(H163:H168)</f>
        <v>471308.83999999997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69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69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69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1" t="s">
        <v>772</v>
      </c>
      <c r="I172" s="16" t="s">
        <v>284</v>
      </c>
      <c r="J172" s="16" t="s">
        <v>285</v>
      </c>
      <c r="K172" s="20"/>
      <c r="L172" s="20"/>
      <c r="M172" s="8"/>
      <c r="N172" s="269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69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69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69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/>
      <c r="G176" s="24" t="s">
        <v>289</v>
      </c>
      <c r="H176" s="24" t="s">
        <v>289</v>
      </c>
      <c r="I176" s="18"/>
      <c r="J176" s="24" t="s">
        <v>289</v>
      </c>
      <c r="K176" s="24" t="s">
        <v>289</v>
      </c>
      <c r="L176" s="24" t="s">
        <v>289</v>
      </c>
      <c r="M176" s="8"/>
      <c r="N176" s="269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0</v>
      </c>
      <c r="G177" s="41" t="s">
        <v>289</v>
      </c>
      <c r="H177" s="41" t="s">
        <v>289</v>
      </c>
      <c r="I177" s="41">
        <f>SUM(I173:I176)</f>
        <v>0</v>
      </c>
      <c r="J177" s="45" t="s">
        <v>289</v>
      </c>
      <c r="K177" s="45" t="s">
        <v>289</v>
      </c>
      <c r="L177" s="45" t="s">
        <v>289</v>
      </c>
      <c r="M177" s="8"/>
      <c r="N177" s="269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69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>
        <v>48202.12</v>
      </c>
      <c r="H179" s="18"/>
      <c r="I179" s="18"/>
      <c r="J179" s="18">
        <v>80000</v>
      </c>
      <c r="K179" s="24" t="s">
        <v>289</v>
      </c>
      <c r="L179" s="24" t="s">
        <v>289</v>
      </c>
      <c r="M179" s="8"/>
      <c r="N179" s="269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/>
      <c r="G180" s="24" t="s">
        <v>289</v>
      </c>
      <c r="H180" s="18"/>
      <c r="I180" s="18"/>
      <c r="J180" s="18"/>
      <c r="K180" s="24" t="s">
        <v>289</v>
      </c>
      <c r="L180" s="24" t="s">
        <v>289</v>
      </c>
      <c r="M180" s="8"/>
      <c r="N180" s="269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/>
      <c r="G181" s="18"/>
      <c r="H181" s="24" t="s">
        <v>289</v>
      </c>
      <c r="I181" s="18"/>
      <c r="J181" s="18"/>
      <c r="K181" s="24" t="s">
        <v>289</v>
      </c>
      <c r="L181" s="24" t="s">
        <v>289</v>
      </c>
      <c r="M181" s="8"/>
      <c r="N181" s="269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/>
      <c r="G182" s="18"/>
      <c r="H182" s="18"/>
      <c r="I182" s="24" t="s">
        <v>289</v>
      </c>
      <c r="J182" s="18"/>
      <c r="K182" s="24" t="s">
        <v>289</v>
      </c>
      <c r="L182" s="24" t="s">
        <v>289</v>
      </c>
      <c r="M182" s="8"/>
      <c r="N182" s="269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0</v>
      </c>
      <c r="G183" s="41">
        <f>SUM(G179:G182)</f>
        <v>48202.12</v>
      </c>
      <c r="H183" s="41">
        <f>SUM(H179:H182)</f>
        <v>0</v>
      </c>
      <c r="I183" s="41">
        <f>SUM(I179:I182)</f>
        <v>0</v>
      </c>
      <c r="J183" s="41">
        <f>SUM(J179:J182)</f>
        <v>80000</v>
      </c>
      <c r="K183" s="45" t="s">
        <v>289</v>
      </c>
      <c r="L183" s="45" t="s">
        <v>289</v>
      </c>
      <c r="M183" s="8"/>
      <c r="N183" s="269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69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69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>
        <v>55000</v>
      </c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M186" s="8"/>
      <c r="N186" s="269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/>
      <c r="G187" s="18"/>
      <c r="H187" s="18"/>
      <c r="I187" s="18"/>
      <c r="J187" s="24" t="s">
        <v>289</v>
      </c>
      <c r="K187" s="24" t="s">
        <v>289</v>
      </c>
      <c r="L187" s="24" t="s">
        <v>289</v>
      </c>
      <c r="N187" s="267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55000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289</v>
      </c>
      <c r="K188" s="45" t="s">
        <v>289</v>
      </c>
      <c r="L188" s="45" t="s">
        <v>289</v>
      </c>
      <c r="N188" s="267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69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69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/>
      <c r="G191" s="18"/>
      <c r="H191" s="18"/>
      <c r="I191" s="18"/>
      <c r="J191" s="24" t="s">
        <v>289</v>
      </c>
      <c r="K191" s="24" t="s">
        <v>289</v>
      </c>
      <c r="L191" s="24" t="s">
        <v>289</v>
      </c>
      <c r="M191" s="8"/>
      <c r="N191" s="269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4" t="s">
        <v>431</v>
      </c>
      <c r="E192" s="51">
        <v>5000</v>
      </c>
      <c r="F192" s="41">
        <f>F177+F183+SUM(F188:F191)</f>
        <v>55000</v>
      </c>
      <c r="G192" s="41">
        <f>G183+SUM(G188:G191)</f>
        <v>48202.12</v>
      </c>
      <c r="H192" s="41">
        <f>+H183+SUM(H188:H191)</f>
        <v>0</v>
      </c>
      <c r="I192" s="41">
        <f>I177+I183+SUM(I188:I191)</f>
        <v>0</v>
      </c>
      <c r="J192" s="41">
        <f>J183</f>
        <v>80000</v>
      </c>
      <c r="K192" s="45" t="s">
        <v>289</v>
      </c>
      <c r="L192" s="45" t="s">
        <v>289</v>
      </c>
      <c r="M192" s="8"/>
      <c r="N192" s="269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5" t="s">
        <v>431</v>
      </c>
      <c r="E193" s="44"/>
      <c r="F193" s="47">
        <f>F112+F140+F169+F192</f>
        <v>13031557.91</v>
      </c>
      <c r="G193" s="47">
        <f>G112+G140+G169+G192</f>
        <v>361138.53</v>
      </c>
      <c r="H193" s="47">
        <f>H112+H140+H169+H192</f>
        <v>550415.69999999995</v>
      </c>
      <c r="I193" s="47">
        <f>I112+I140+I169+I192</f>
        <v>0</v>
      </c>
      <c r="J193" s="47">
        <f>J112+J140+J192</f>
        <v>80000</v>
      </c>
      <c r="K193" s="45" t="s">
        <v>289</v>
      </c>
      <c r="L193" s="45" t="s">
        <v>289</v>
      </c>
      <c r="M193" s="8"/>
      <c r="N193" s="269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5" t="s">
        <v>693</v>
      </c>
      <c r="G194" s="175" t="s">
        <v>694</v>
      </c>
      <c r="H194" s="175" t="s">
        <v>695</v>
      </c>
      <c r="I194" s="175" t="s">
        <v>696</v>
      </c>
      <c r="J194" s="175" t="s">
        <v>697</v>
      </c>
      <c r="K194" s="175" t="s">
        <v>698</v>
      </c>
      <c r="L194" s="56"/>
      <c r="M194" s="8"/>
      <c r="N194" s="269"/>
    </row>
    <row r="195" spans="1:14" s="3" customFormat="1" ht="12" customHeight="1" x14ac:dyDescent="0.15">
      <c r="A195" s="29" t="s">
        <v>452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69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69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>
        <v>729648.67</v>
      </c>
      <c r="G197" s="18">
        <f>298506.94+1716</f>
        <v>300222.94</v>
      </c>
      <c r="H197" s="18">
        <f>60324.81+311.39</f>
        <v>60636.2</v>
      </c>
      <c r="I197" s="18">
        <v>37906.29</v>
      </c>
      <c r="J197" s="18">
        <v>29</v>
      </c>
      <c r="K197" s="18">
        <v>2280.09</v>
      </c>
      <c r="L197" s="19">
        <f>SUM(F197:K197)</f>
        <v>1130723.1900000002</v>
      </c>
      <c r="M197" s="8"/>
      <c r="N197" s="269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>
        <v>355319.24</v>
      </c>
      <c r="G198" s="18">
        <f>153077.03+576+42+185</f>
        <v>153880.03</v>
      </c>
      <c r="H198" s="18">
        <f>52760.83+89295.7</f>
        <v>142056.53</v>
      </c>
      <c r="I198" s="18">
        <v>3559.73</v>
      </c>
      <c r="J198" s="18">
        <v>3021.66</v>
      </c>
      <c r="K198" s="18"/>
      <c r="L198" s="19">
        <f>SUM(F198:K198)</f>
        <v>657837.19000000006</v>
      </c>
      <c r="M198" s="8"/>
      <c r="N198" s="269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69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>
        <v>24570.880000000001</v>
      </c>
      <c r="G200" s="18">
        <v>5184.8</v>
      </c>
      <c r="H200" s="18">
        <v>948.64</v>
      </c>
      <c r="I200" s="18"/>
      <c r="J200" s="18"/>
      <c r="K200" s="18"/>
      <c r="L200" s="19">
        <f>SUM(F200:K200)</f>
        <v>30704.32</v>
      </c>
      <c r="M200" s="8"/>
      <c r="N200" s="269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69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>
        <v>141993.44</v>
      </c>
      <c r="G202" s="18">
        <f>58003.86+126+207</f>
        <v>58336.86</v>
      </c>
      <c r="H202" s="18">
        <f>147654.57+2166.35+436.34</f>
        <v>150257.26</v>
      </c>
      <c r="I202" s="18">
        <v>8935.83</v>
      </c>
      <c r="J202" s="18"/>
      <c r="K202" s="18">
        <v>125</v>
      </c>
      <c r="L202" s="19">
        <f t="shared" ref="L202:L208" si="0">SUM(F202:K202)</f>
        <v>359648.39</v>
      </c>
      <c r="M202" s="8"/>
      <c r="N202" s="269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>
        <v>21954.63</v>
      </c>
      <c r="G203" s="18">
        <f>21444.45+144</f>
        <v>21588.45</v>
      </c>
      <c r="H203" s="18">
        <v>9135.16</v>
      </c>
      <c r="I203" s="18">
        <v>1252.9000000000001</v>
      </c>
      <c r="J203" s="18">
        <v>1278.4000000000001</v>
      </c>
      <c r="K203" s="18"/>
      <c r="L203" s="19">
        <f t="shared" si="0"/>
        <v>55209.540000000008</v>
      </c>
      <c r="M203" s="8"/>
      <c r="N203" s="269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>
        <v>3293.34</v>
      </c>
      <c r="G204" s="18">
        <v>287.07</v>
      </c>
      <c r="H204" s="18">
        <f>187365.87+10948.4</f>
        <v>198314.27</v>
      </c>
      <c r="I204" s="18">
        <v>245.26</v>
      </c>
      <c r="J204" s="18"/>
      <c r="K204" s="18">
        <v>1208.78</v>
      </c>
      <c r="L204" s="19">
        <f t="shared" si="0"/>
        <v>203348.72</v>
      </c>
      <c r="M204" s="8"/>
      <c r="N204" s="269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>
        <v>110817.83</v>
      </c>
      <c r="G205" s="18">
        <f>46259.82+263</f>
        <v>46522.82</v>
      </c>
      <c r="H205" s="18">
        <v>4855.91</v>
      </c>
      <c r="I205" s="18">
        <v>1546.69</v>
      </c>
      <c r="J205" s="18"/>
      <c r="K205" s="18">
        <v>82.96</v>
      </c>
      <c r="L205" s="19">
        <f t="shared" si="0"/>
        <v>163826.21</v>
      </c>
      <c r="M205" s="8"/>
      <c r="N205" s="269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69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>
        <v>46745.95</v>
      </c>
      <c r="G207" s="18">
        <f>17533.52+109</f>
        <v>17642.52</v>
      </c>
      <c r="H207" s="18">
        <f>49295.3+4082.97+350</f>
        <v>53728.270000000004</v>
      </c>
      <c r="I207" s="18">
        <v>80980.53</v>
      </c>
      <c r="J207" s="18">
        <v>5193.63</v>
      </c>
      <c r="K207" s="18"/>
      <c r="L207" s="19">
        <f t="shared" si="0"/>
        <v>204290.90000000002</v>
      </c>
      <c r="M207" s="8"/>
      <c r="N207" s="269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>
        <v>8946.7999999999993</v>
      </c>
      <c r="G208" s="18">
        <f>3862.21+20</f>
        <v>3882.21</v>
      </c>
      <c r="H208" s="18">
        <f>527.19+113352.94</f>
        <v>113880.13</v>
      </c>
      <c r="I208" s="18">
        <v>1590.01</v>
      </c>
      <c r="J208" s="18"/>
      <c r="K208" s="18">
        <v>1.28</v>
      </c>
      <c r="L208" s="19">
        <f t="shared" si="0"/>
        <v>128300.43</v>
      </c>
      <c r="M208" s="8"/>
      <c r="N208" s="269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/>
      <c r="G209" s="18"/>
      <c r="H209" s="18">
        <f>11601.79+6909.28</f>
        <v>18511.07</v>
      </c>
      <c r="I209" s="18">
        <v>1100.29</v>
      </c>
      <c r="J209" s="18">
        <v>4108.16</v>
      </c>
      <c r="K209" s="18"/>
      <c r="L209" s="19">
        <f>SUM(F209:K209)</f>
        <v>23719.52</v>
      </c>
      <c r="M209" s="8"/>
      <c r="N209" s="269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69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1443290.78</v>
      </c>
      <c r="G211" s="41">
        <f t="shared" si="1"/>
        <v>607547.69999999984</v>
      </c>
      <c r="H211" s="41">
        <f t="shared" si="1"/>
        <v>752323.44</v>
      </c>
      <c r="I211" s="41">
        <f t="shared" si="1"/>
        <v>137117.53000000003</v>
      </c>
      <c r="J211" s="41">
        <f t="shared" si="1"/>
        <v>13630.849999999999</v>
      </c>
      <c r="K211" s="41">
        <f t="shared" si="1"/>
        <v>3698.11</v>
      </c>
      <c r="L211" s="41">
        <f t="shared" si="1"/>
        <v>2957608.4100000006</v>
      </c>
      <c r="M211" s="8"/>
      <c r="N211" s="269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5" t="s">
        <v>693</v>
      </c>
      <c r="G212" s="175" t="s">
        <v>694</v>
      </c>
      <c r="H212" s="175" t="s">
        <v>695</v>
      </c>
      <c r="I212" s="175" t="s">
        <v>696</v>
      </c>
      <c r="J212" s="175" t="s">
        <v>697</v>
      </c>
      <c r="K212" s="175" t="s">
        <v>698</v>
      </c>
      <c r="L212" s="67"/>
      <c r="M212" s="8"/>
      <c r="N212" s="269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69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69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>
        <v>1200764.6399999999</v>
      </c>
      <c r="G215" s="18">
        <f>478798.81+2816-7763</f>
        <v>473851.81</v>
      </c>
      <c r="H215" s="18">
        <f>44+4758.57</f>
        <v>4802.57</v>
      </c>
      <c r="I215" s="18">
        <v>67431.44</v>
      </c>
      <c r="J215" s="18">
        <f>1676.81+3578</f>
        <v>5254.8099999999995</v>
      </c>
      <c r="K215" s="18">
        <v>2655.11</v>
      </c>
      <c r="L215" s="19">
        <f>SUM(F215:K215)</f>
        <v>1754760.3800000001</v>
      </c>
      <c r="M215" s="8"/>
      <c r="N215" s="269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>
        <v>434016.48</v>
      </c>
      <c r="G216" s="18">
        <f>200602.44+936+74</f>
        <v>201612.44</v>
      </c>
      <c r="H216" s="18">
        <f>84286.5+348955.73</f>
        <v>433242.23</v>
      </c>
      <c r="I216" s="18">
        <f>5519.03+691.9</f>
        <v>6210.9299999999994</v>
      </c>
      <c r="J216" s="18">
        <v>563.76</v>
      </c>
      <c r="K216" s="18"/>
      <c r="L216" s="19">
        <f>SUM(F216:K216)</f>
        <v>1075645.8399999999</v>
      </c>
      <c r="M216" s="8"/>
      <c r="N216" s="269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69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>
        <v>52259.67</v>
      </c>
      <c r="G218" s="18">
        <v>11755.89</v>
      </c>
      <c r="H218" s="18">
        <f>7992.5+2515.5+13615.15</f>
        <v>24123.15</v>
      </c>
      <c r="I218" s="18">
        <v>8833.57</v>
      </c>
      <c r="J218" s="18">
        <v>442.37</v>
      </c>
      <c r="K218" s="18">
        <v>2210</v>
      </c>
      <c r="L218" s="19">
        <f>SUM(F218:K218)</f>
        <v>99624.65</v>
      </c>
      <c r="M218" s="8"/>
      <c r="N218" s="269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69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>
        <v>106515.68</v>
      </c>
      <c r="G220" s="18">
        <f>59210.81+162+92</f>
        <v>59464.81</v>
      </c>
      <c r="H220" s="18">
        <f>122921.53+2689.87+147.35</f>
        <v>125758.75</v>
      </c>
      <c r="I220" s="18">
        <v>7172.81</v>
      </c>
      <c r="J220" s="18"/>
      <c r="K220" s="18">
        <v>2442.5700000000002</v>
      </c>
      <c r="L220" s="19">
        <f t="shared" ref="L220:L226" si="2">SUM(F220:K220)</f>
        <v>301354.62</v>
      </c>
      <c r="M220" s="8"/>
      <c r="N220" s="269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>
        <v>65987.55</v>
      </c>
      <c r="G221" s="18">
        <f>38968.28+765+115</f>
        <v>39848.28</v>
      </c>
      <c r="H221" s="18">
        <f>19337.84+1146.43</f>
        <v>20484.27</v>
      </c>
      <c r="I221" s="18">
        <v>3021.65</v>
      </c>
      <c r="J221" s="18">
        <v>2166.6999999999998</v>
      </c>
      <c r="K221" s="18"/>
      <c r="L221" s="19">
        <f t="shared" si="2"/>
        <v>131508.45000000001</v>
      </c>
      <c r="M221" s="8"/>
      <c r="N221" s="269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>
        <v>3717.78</v>
      </c>
      <c r="G222" s="18">
        <v>323.99</v>
      </c>
      <c r="H222" s="18">
        <f>205834.03+12316.95</f>
        <v>218150.98</v>
      </c>
      <c r="I222" s="18">
        <v>418.99599999999998</v>
      </c>
      <c r="J222" s="18"/>
      <c r="K222" s="18">
        <v>1359.87</v>
      </c>
      <c r="L222" s="19">
        <f t="shared" si="2"/>
        <v>223971.61600000001</v>
      </c>
      <c r="M222" s="8"/>
      <c r="N222" s="269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>
        <v>195972.71</v>
      </c>
      <c r="G223" s="18">
        <f>76588.84+470</f>
        <v>77058.84</v>
      </c>
      <c r="H223" s="18">
        <f>449+4249.37</f>
        <v>4698.37</v>
      </c>
      <c r="I223" s="18">
        <v>2682.07</v>
      </c>
      <c r="J223" s="18"/>
      <c r="K223" s="18">
        <v>941.08</v>
      </c>
      <c r="L223" s="19">
        <f t="shared" si="2"/>
        <v>281353.07</v>
      </c>
      <c r="M223" s="8"/>
      <c r="N223" s="269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69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>
        <v>76916.759999999995</v>
      </c>
      <c r="G225" s="18">
        <f>29714.56+177</f>
        <v>29891.56</v>
      </c>
      <c r="H225" s="18">
        <f>65336.2+4593.34+3851</f>
        <v>73780.539999999994</v>
      </c>
      <c r="I225" s="18">
        <v>112096.08</v>
      </c>
      <c r="J225" s="18">
        <v>18845.62</v>
      </c>
      <c r="K225" s="18">
        <v>0</v>
      </c>
      <c r="L225" s="19">
        <f t="shared" si="2"/>
        <v>311530.56</v>
      </c>
      <c r="M225" s="8"/>
      <c r="N225" s="269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>
        <v>9790.77</v>
      </c>
      <c r="G226" s="18">
        <f>4228.15+22</f>
        <v>4250.1499999999996</v>
      </c>
      <c r="H226" s="18">
        <f>602.06+188002.53</f>
        <v>188604.59</v>
      </c>
      <c r="I226" s="18">
        <v>1788.78</v>
      </c>
      <c r="J226" s="18"/>
      <c r="K226" s="18">
        <v>1.44</v>
      </c>
      <c r="L226" s="19">
        <f t="shared" si="2"/>
        <v>204435.73</v>
      </c>
      <c r="M226" s="8"/>
      <c r="N226" s="269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>
        <v>0</v>
      </c>
      <c r="G227" s="18"/>
      <c r="H227" s="18">
        <f>27070.14+8242.04</f>
        <v>35312.18</v>
      </c>
      <c r="I227" s="18">
        <v>1399.88</v>
      </c>
      <c r="J227" s="18">
        <v>5547.08</v>
      </c>
      <c r="K227" s="18"/>
      <c r="L227" s="19">
        <f>SUM(F227:K227)</f>
        <v>42259.14</v>
      </c>
      <c r="M227" s="8"/>
      <c r="N227" s="269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69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2145942.0399999996</v>
      </c>
      <c r="G229" s="41">
        <f>SUM(G215:G228)</f>
        <v>898057.77</v>
      </c>
      <c r="H229" s="41">
        <f>SUM(H215:H228)</f>
        <v>1128957.6299999999</v>
      </c>
      <c r="I229" s="41">
        <f>SUM(I215:I228)</f>
        <v>211056.20600000001</v>
      </c>
      <c r="J229" s="41">
        <f>SUM(J215:J228)</f>
        <v>32820.339999999997</v>
      </c>
      <c r="K229" s="41">
        <f t="shared" si="3"/>
        <v>9610.07</v>
      </c>
      <c r="L229" s="41">
        <f t="shared" si="3"/>
        <v>4426444.0559999999</v>
      </c>
      <c r="M229" s="8"/>
      <c r="N229" s="269"/>
    </row>
    <row r="230" spans="1:14" s="3" customFormat="1" ht="12" customHeight="1" x14ac:dyDescent="0.15">
      <c r="A230" s="55" t="s">
        <v>466</v>
      </c>
      <c r="B230" s="36"/>
      <c r="C230" s="75"/>
      <c r="D230" s="75"/>
      <c r="E230" s="75"/>
      <c r="F230" s="175" t="s">
        <v>693</v>
      </c>
      <c r="G230" s="175" t="s">
        <v>694</v>
      </c>
      <c r="H230" s="175" t="s">
        <v>695</v>
      </c>
      <c r="I230" s="175" t="s">
        <v>696</v>
      </c>
      <c r="J230" s="175" t="s">
        <v>697</v>
      </c>
      <c r="K230" s="175" t="s">
        <v>698</v>
      </c>
      <c r="L230" s="67"/>
      <c r="M230" s="8"/>
      <c r="N230" s="269"/>
    </row>
    <row r="231" spans="1:14" s="3" customFormat="1" ht="12" customHeight="1" x14ac:dyDescent="0.15">
      <c r="A231" s="29" t="s">
        <v>454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69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69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>
        <v>1156088.3999999999</v>
      </c>
      <c r="G233" s="18">
        <f>497096.5+2703.5+41</f>
        <v>499841</v>
      </c>
      <c r="H233" s="18">
        <v>2168.5700000000002</v>
      </c>
      <c r="I233" s="18">
        <v>62368.67</v>
      </c>
      <c r="J233" s="18">
        <v>33350.699999999997</v>
      </c>
      <c r="K233" s="18">
        <v>5497.1</v>
      </c>
      <c r="L233" s="19">
        <f>SUM(F233:K233)</f>
        <v>1759314.44</v>
      </c>
      <c r="M233" s="8"/>
      <c r="N233" s="269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>
        <v>379815.97</v>
      </c>
      <c r="G234" s="18">
        <f>220709.69+878+1</f>
        <v>221588.69</v>
      </c>
      <c r="H234" s="18">
        <f>104251.76+282930.3</f>
        <v>387182.06</v>
      </c>
      <c r="I234" s="18">
        <v>1932.22</v>
      </c>
      <c r="J234" s="18">
        <v>4239.6000000000004</v>
      </c>
      <c r="K234" s="18"/>
      <c r="L234" s="19">
        <f>SUM(F234:K234)</f>
        <v>994758.53999999992</v>
      </c>
      <c r="M234" s="8"/>
      <c r="N234" s="269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/>
      <c r="G235" s="18"/>
      <c r="H235" s="18">
        <f>16000+282983.68</f>
        <v>298983.67999999999</v>
      </c>
      <c r="I235" s="18"/>
      <c r="J235" s="18"/>
      <c r="K235" s="18"/>
      <c r="L235" s="19">
        <f>SUM(F235:K235)</f>
        <v>298983.67999999999</v>
      </c>
      <c r="M235" s="8"/>
      <c r="N235" s="269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>
        <v>75362.58</v>
      </c>
      <c r="G236" s="18">
        <f>9686.57+79.22</f>
        <v>9765.7899999999991</v>
      </c>
      <c r="H236" s="18">
        <f>20862+210+24986.16</f>
        <v>46058.16</v>
      </c>
      <c r="I236" s="18">
        <v>8080.1</v>
      </c>
      <c r="J236" s="18"/>
      <c r="K236" s="18">
        <v>5932</v>
      </c>
      <c r="L236" s="19">
        <f>SUM(F236:K236)</f>
        <v>145198.63</v>
      </c>
      <c r="M236" s="8"/>
      <c r="N236" s="269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69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>
        <v>205528.41</v>
      </c>
      <c r="G238" s="18">
        <f>98186.87+96+305+89</f>
        <v>98676.87</v>
      </c>
      <c r="H238" s="18">
        <f>67612.6+2566.06+24.86</f>
        <v>70203.520000000004</v>
      </c>
      <c r="I238" s="18">
        <v>11575.61</v>
      </c>
      <c r="J238" s="18">
        <v>269.99</v>
      </c>
      <c r="K238" s="18">
        <v>2628.75</v>
      </c>
      <c r="L238" s="19">
        <f t="shared" ref="L238:L244" si="4">SUM(F238:K238)</f>
        <v>388883.15</v>
      </c>
      <c r="M238" s="8"/>
      <c r="N238" s="269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>
        <v>68350.86</v>
      </c>
      <c r="G239" s="18">
        <f>33889.8+1308+45</f>
        <v>35242.800000000003</v>
      </c>
      <c r="H239" s="18">
        <f>21289.13+346.62</f>
        <v>21635.75</v>
      </c>
      <c r="I239" s="18">
        <v>3442.46</v>
      </c>
      <c r="J239" s="18">
        <v>2268.66</v>
      </c>
      <c r="K239" s="18"/>
      <c r="L239" s="19">
        <f t="shared" si="4"/>
        <v>130940.53000000001</v>
      </c>
      <c r="M239" s="8"/>
      <c r="N239" s="269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>
        <v>3313.88</v>
      </c>
      <c r="G240" s="18">
        <v>289.23</v>
      </c>
      <c r="H240" s="18">
        <f>186344.02+11034.05</f>
        <v>197378.06999999998</v>
      </c>
      <c r="I240" s="18">
        <v>412.08</v>
      </c>
      <c r="J240" s="18"/>
      <c r="K240" s="18">
        <v>1208.78</v>
      </c>
      <c r="L240" s="19">
        <f t="shared" si="4"/>
        <v>202602.03999999995</v>
      </c>
      <c r="M240" s="8"/>
      <c r="N240" s="269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>
        <v>210344.97</v>
      </c>
      <c r="G241" s="18">
        <f>84091.69+492</f>
        <v>84583.69</v>
      </c>
      <c r="H241" s="18">
        <f>650+824+12893.04</f>
        <v>14367.04</v>
      </c>
      <c r="I241" s="18">
        <f>8240.47+232</f>
        <v>8472.4699999999993</v>
      </c>
      <c r="J241" s="18">
        <v>289.98</v>
      </c>
      <c r="K241" s="18">
        <v>1557.96</v>
      </c>
      <c r="L241" s="19">
        <f t="shared" si="4"/>
        <v>319616.11</v>
      </c>
      <c r="M241" s="8"/>
      <c r="N241" s="269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69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>
        <v>92423.62</v>
      </c>
      <c r="G243" s="18">
        <f>32466.08+209</f>
        <v>32675.08</v>
      </c>
      <c r="H243" s="18">
        <f>3998.17+99474.03+4325.79+3837.5</f>
        <v>111635.48999999999</v>
      </c>
      <c r="I243" s="18">
        <f>142517.64+945</f>
        <v>143462.64000000001</v>
      </c>
      <c r="J243" s="18">
        <v>2735.1</v>
      </c>
      <c r="K243" s="18"/>
      <c r="L243" s="19">
        <f t="shared" si="4"/>
        <v>382931.93</v>
      </c>
      <c r="M243" s="8"/>
      <c r="N243" s="269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>
        <v>8715.6299999999992</v>
      </c>
      <c r="G244" s="18">
        <f>3759+20</f>
        <v>3779</v>
      </c>
      <c r="H244" s="18">
        <f>518.19+161451.05</f>
        <v>161969.24</v>
      </c>
      <c r="I244" s="18">
        <v>1590.02</v>
      </c>
      <c r="J244" s="18"/>
      <c r="K244" s="18">
        <v>1.28</v>
      </c>
      <c r="L244" s="19">
        <f t="shared" si="4"/>
        <v>176055.16999999998</v>
      </c>
      <c r="M244" s="8"/>
      <c r="N244" s="269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/>
      <c r="G245" s="18"/>
      <c r="H245" s="18">
        <f>19448.9+27984.1</f>
        <v>47433</v>
      </c>
      <c r="I245" s="18">
        <v>1420.82</v>
      </c>
      <c r="J245" s="18">
        <v>7325.29</v>
      </c>
      <c r="K245" s="18"/>
      <c r="L245" s="19">
        <f>SUM(F245:K245)</f>
        <v>56179.11</v>
      </c>
      <c r="M245" s="8"/>
      <c r="N245" s="269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69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2199944.3199999998</v>
      </c>
      <c r="G247" s="41">
        <f t="shared" si="5"/>
        <v>986442.15</v>
      </c>
      <c r="H247" s="41">
        <f t="shared" si="5"/>
        <v>1359014.58</v>
      </c>
      <c r="I247" s="41">
        <f t="shared" si="5"/>
        <v>242757.09000000003</v>
      </c>
      <c r="J247" s="41">
        <f t="shared" si="5"/>
        <v>50479.32</v>
      </c>
      <c r="K247" s="41">
        <f t="shared" si="5"/>
        <v>16825.87</v>
      </c>
      <c r="L247" s="41">
        <f t="shared" si="5"/>
        <v>4855463.33</v>
      </c>
      <c r="M247" s="8"/>
      <c r="N247" s="269"/>
    </row>
    <row r="248" spans="1:14" s="3" customFormat="1" ht="12" customHeight="1" x14ac:dyDescent="0.15">
      <c r="A248" s="70"/>
      <c r="B248" s="36"/>
      <c r="C248" s="37"/>
      <c r="D248" s="37"/>
      <c r="E248" s="37"/>
      <c r="F248" s="175" t="s">
        <v>693</v>
      </c>
      <c r="G248" s="175" t="s">
        <v>694</v>
      </c>
      <c r="H248" s="175" t="s">
        <v>695</v>
      </c>
      <c r="I248" s="175" t="s">
        <v>696</v>
      </c>
      <c r="J248" s="175" t="s">
        <v>697</v>
      </c>
      <c r="K248" s="175" t="s">
        <v>698</v>
      </c>
      <c r="L248" s="67"/>
      <c r="M248" s="8"/>
      <c r="N248" s="269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69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69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69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69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>
        <v>17035.87</v>
      </c>
      <c r="G253" s="18">
        <v>10912.53</v>
      </c>
      <c r="H253" s="18">
        <v>1087.99</v>
      </c>
      <c r="I253" s="18">
        <v>936.24</v>
      </c>
      <c r="J253" s="18">
        <v>15000</v>
      </c>
      <c r="K253" s="18"/>
      <c r="L253" s="19">
        <f t="shared" si="6"/>
        <v>44972.630000000005</v>
      </c>
      <c r="M253" s="8"/>
      <c r="N253" s="269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69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/>
      <c r="G255" s="18"/>
      <c r="H255" s="18"/>
      <c r="I255" s="18"/>
      <c r="J255" s="18"/>
      <c r="K255" s="18"/>
      <c r="L255" s="19">
        <f t="shared" si="6"/>
        <v>0</v>
      </c>
      <c r="M255" s="8"/>
      <c r="N255" s="269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17035.87</v>
      </c>
      <c r="G256" s="41">
        <f t="shared" si="7"/>
        <v>10912.53</v>
      </c>
      <c r="H256" s="41">
        <f t="shared" si="7"/>
        <v>1087.99</v>
      </c>
      <c r="I256" s="41">
        <f t="shared" si="7"/>
        <v>936.24</v>
      </c>
      <c r="J256" s="41">
        <f t="shared" si="7"/>
        <v>15000</v>
      </c>
      <c r="K256" s="41">
        <f t="shared" si="7"/>
        <v>0</v>
      </c>
      <c r="L256" s="41">
        <f>SUM(F256:K256)</f>
        <v>44972.630000000005</v>
      </c>
      <c r="M256" s="8"/>
      <c r="N256" s="269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5806213.0099999988</v>
      </c>
      <c r="G257" s="41">
        <f t="shared" si="8"/>
        <v>2502960.1499999994</v>
      </c>
      <c r="H257" s="41">
        <f t="shared" si="8"/>
        <v>3241383.64</v>
      </c>
      <c r="I257" s="41">
        <f t="shared" si="8"/>
        <v>591867.06600000011</v>
      </c>
      <c r="J257" s="41">
        <f t="shared" si="8"/>
        <v>111930.51</v>
      </c>
      <c r="K257" s="41">
        <f t="shared" si="8"/>
        <v>30134.05</v>
      </c>
      <c r="L257" s="41">
        <f t="shared" si="8"/>
        <v>12284488.426000001</v>
      </c>
      <c r="M257" s="8"/>
      <c r="N257" s="269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69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69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328523.69</v>
      </c>
      <c r="L260" s="19">
        <f>SUM(F260:K260)</f>
        <v>328523.69</v>
      </c>
      <c r="M260" s="8"/>
      <c r="N260" s="269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>
        <v>17655.68</v>
      </c>
      <c r="L261" s="19">
        <f>SUM(F261:K261)</f>
        <v>17655.68</v>
      </c>
      <c r="N261" s="267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267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>
        <v>48202.12</v>
      </c>
      <c r="L263" s="19">
        <f>SUM(F263:K263)</f>
        <v>48202.12</v>
      </c>
      <c r="N263" s="267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ref="L264:L270" si="9">SUM(F264:K264)</f>
        <v>0</v>
      </c>
      <c r="N264" s="267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  <c r="N265" s="267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>
        <v>80000</v>
      </c>
      <c r="L266" s="19">
        <f t="shared" si="9"/>
        <v>80000</v>
      </c>
      <c r="N266" s="267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267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>
        <v>11118</v>
      </c>
      <c r="L268" s="19">
        <f t="shared" si="9"/>
        <v>11118</v>
      </c>
      <c r="N268" s="267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/>
      <c r="L269" s="19">
        <f t="shared" si="9"/>
        <v>0</v>
      </c>
      <c r="N269" s="267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485499.49</v>
      </c>
      <c r="L270" s="41">
        <f t="shared" si="9"/>
        <v>485499.49</v>
      </c>
      <c r="N270" s="267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5806213.0099999988</v>
      </c>
      <c r="G271" s="42">
        <f t="shared" si="11"/>
        <v>2502960.1499999994</v>
      </c>
      <c r="H271" s="42">
        <f t="shared" si="11"/>
        <v>3241383.64</v>
      </c>
      <c r="I271" s="42">
        <f t="shared" si="11"/>
        <v>591867.06600000011</v>
      </c>
      <c r="J271" s="42">
        <f t="shared" si="11"/>
        <v>111930.51</v>
      </c>
      <c r="K271" s="42">
        <f t="shared" si="11"/>
        <v>515633.54</v>
      </c>
      <c r="L271" s="42">
        <f t="shared" si="11"/>
        <v>12769987.916000001</v>
      </c>
      <c r="M271" s="8"/>
      <c r="N271" s="269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69"/>
    </row>
    <row r="273" spans="1:14" s="3" customFormat="1" ht="12" customHeight="1" x14ac:dyDescent="0.15">
      <c r="A273" s="29" t="s">
        <v>467</v>
      </c>
      <c r="F273" s="175" t="s">
        <v>693</v>
      </c>
      <c r="G273" s="175" t="s">
        <v>694</v>
      </c>
      <c r="H273" s="175" t="s">
        <v>695</v>
      </c>
      <c r="I273" s="175" t="s">
        <v>696</v>
      </c>
      <c r="J273" s="175" t="s">
        <v>697</v>
      </c>
      <c r="K273" s="175" t="s">
        <v>698</v>
      </c>
      <c r="M273" s="8"/>
      <c r="N273" s="269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69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69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>
        <v>42693</v>
      </c>
      <c r="G276" s="18">
        <v>22854.33</v>
      </c>
      <c r="H276" s="18"/>
      <c r="I276" s="18">
        <v>3239.94</v>
      </c>
      <c r="J276" s="18">
        <v>1814</v>
      </c>
      <c r="K276" s="18"/>
      <c r="L276" s="19">
        <f>SUM(F276:K276)</f>
        <v>70601.27</v>
      </c>
      <c r="M276" s="8"/>
      <c r="N276" s="269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>
        <v>156800.48000000001</v>
      </c>
      <c r="G277" s="18">
        <v>69859.149999999994</v>
      </c>
      <c r="H277" s="18"/>
      <c r="I277" s="18"/>
      <c r="J277" s="18"/>
      <c r="K277" s="18"/>
      <c r="L277" s="19">
        <f>SUM(F277:K277)</f>
        <v>226659.63</v>
      </c>
      <c r="M277" s="8"/>
      <c r="N277" s="269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69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>
        <v>8060.93</v>
      </c>
      <c r="G279" s="18">
        <v>947.58</v>
      </c>
      <c r="H279" s="18"/>
      <c r="I279" s="18">
        <v>1100.45</v>
      </c>
      <c r="J279" s="18"/>
      <c r="K279" s="18"/>
      <c r="L279" s="19">
        <f>SUM(F279:K279)</f>
        <v>10108.960000000001</v>
      </c>
      <c r="M279" s="8"/>
      <c r="N279" s="269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69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/>
      <c r="G281" s="18"/>
      <c r="H281" s="18"/>
      <c r="I281" s="18"/>
      <c r="J281" s="18"/>
      <c r="K281" s="18"/>
      <c r="L281" s="19">
        <f t="shared" ref="L281:L287" si="12">SUM(F281:K281)</f>
        <v>0</v>
      </c>
      <c r="M281" s="8"/>
      <c r="N281" s="269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/>
      <c r="G282" s="18"/>
      <c r="H282" s="18">
        <v>75</v>
      </c>
      <c r="I282" s="18"/>
      <c r="J282" s="18"/>
      <c r="K282" s="18"/>
      <c r="L282" s="19">
        <f t="shared" si="12"/>
        <v>75</v>
      </c>
      <c r="M282" s="8"/>
      <c r="N282" s="269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/>
      <c r="G283" s="18"/>
      <c r="H283" s="18"/>
      <c r="I283" s="18"/>
      <c r="J283" s="18"/>
      <c r="K283" s="18">
        <v>4833</v>
      </c>
      <c r="L283" s="19">
        <f t="shared" si="12"/>
        <v>4833</v>
      </c>
      <c r="M283" s="8"/>
      <c r="N283" s="269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69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69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/>
      <c r="G286" s="18"/>
      <c r="H286" s="18"/>
      <c r="I286" s="18"/>
      <c r="J286" s="18">
        <v>10985.26</v>
      </c>
      <c r="K286" s="18"/>
      <c r="L286" s="19">
        <f t="shared" si="12"/>
        <v>10985.26</v>
      </c>
      <c r="M286" s="8"/>
      <c r="N286" s="269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69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69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69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207554.41</v>
      </c>
      <c r="G290" s="42">
        <f t="shared" si="13"/>
        <v>93661.06</v>
      </c>
      <c r="H290" s="42">
        <f t="shared" si="13"/>
        <v>75</v>
      </c>
      <c r="I290" s="42">
        <f t="shared" si="13"/>
        <v>4340.3900000000003</v>
      </c>
      <c r="J290" s="42">
        <f t="shared" si="13"/>
        <v>12799.26</v>
      </c>
      <c r="K290" s="42">
        <f t="shared" si="13"/>
        <v>4833</v>
      </c>
      <c r="L290" s="41">
        <f t="shared" si="13"/>
        <v>323263.12000000005</v>
      </c>
      <c r="M290" s="8"/>
      <c r="N290" s="269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69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5" t="s">
        <v>693</v>
      </c>
      <c r="G292" s="175" t="s">
        <v>694</v>
      </c>
      <c r="H292" s="175" t="s">
        <v>695</v>
      </c>
      <c r="I292" s="175" t="s">
        <v>696</v>
      </c>
      <c r="J292" s="175" t="s">
        <v>697</v>
      </c>
      <c r="K292" s="175" t="s">
        <v>698</v>
      </c>
      <c r="L292" s="17"/>
      <c r="M292" s="8"/>
      <c r="N292" s="269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69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69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69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>
        <v>17937</v>
      </c>
      <c r="G296" s="18">
        <v>15768.76</v>
      </c>
      <c r="H296" s="18"/>
      <c r="I296" s="18"/>
      <c r="J296" s="18"/>
      <c r="K296" s="18"/>
      <c r="L296" s="19">
        <f>SUM(F296:K296)</f>
        <v>33705.760000000002</v>
      </c>
      <c r="M296" s="8"/>
      <c r="N296" s="269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69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>
        <v>68975.990000000005</v>
      </c>
      <c r="G298" s="18">
        <v>18866.77</v>
      </c>
      <c r="H298" s="18">
        <v>3939.96</v>
      </c>
      <c r="I298" s="18"/>
      <c r="J298" s="18">
        <v>2061.9499999999998</v>
      </c>
      <c r="K298" s="18"/>
      <c r="L298" s="19">
        <f>SUM(F298:K298)</f>
        <v>93844.670000000013</v>
      </c>
      <c r="M298" s="8"/>
      <c r="N298" s="269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69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69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>
        <v>1600</v>
      </c>
      <c r="G301" s="18">
        <v>303.39999999999998</v>
      </c>
      <c r="H301" s="18">
        <v>20235</v>
      </c>
      <c r="I301" s="18">
        <v>112.35</v>
      </c>
      <c r="J301" s="18"/>
      <c r="K301" s="18"/>
      <c r="L301" s="19">
        <f t="shared" si="14"/>
        <v>22250.75</v>
      </c>
      <c r="M301" s="8"/>
      <c r="N301" s="269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/>
      <c r="G302" s="18"/>
      <c r="H302" s="18"/>
      <c r="I302" s="18"/>
      <c r="J302" s="18"/>
      <c r="K302" s="18">
        <v>444</v>
      </c>
      <c r="L302" s="19">
        <f t="shared" si="14"/>
        <v>444</v>
      </c>
      <c r="M302" s="8"/>
      <c r="N302" s="269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69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69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/>
      <c r="G305" s="18"/>
      <c r="H305" s="18"/>
      <c r="I305" s="18"/>
      <c r="J305" s="18">
        <v>12313.37</v>
      </c>
      <c r="K305" s="18"/>
      <c r="L305" s="19">
        <f t="shared" si="14"/>
        <v>12313.37</v>
      </c>
      <c r="M305" s="8"/>
      <c r="N305" s="269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/>
      <c r="G306" s="18"/>
      <c r="H306" s="18">
        <v>2920</v>
      </c>
      <c r="I306" s="18"/>
      <c r="J306" s="18"/>
      <c r="K306" s="18"/>
      <c r="L306" s="19">
        <f t="shared" si="14"/>
        <v>2920</v>
      </c>
      <c r="M306" s="8"/>
      <c r="N306" s="269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69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69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88512.99</v>
      </c>
      <c r="G309" s="42">
        <f t="shared" si="15"/>
        <v>34938.93</v>
      </c>
      <c r="H309" s="42">
        <f t="shared" si="15"/>
        <v>27094.959999999999</v>
      </c>
      <c r="I309" s="42">
        <f t="shared" si="15"/>
        <v>112.35</v>
      </c>
      <c r="J309" s="42">
        <f t="shared" si="15"/>
        <v>14375.32</v>
      </c>
      <c r="K309" s="42">
        <f t="shared" si="15"/>
        <v>444</v>
      </c>
      <c r="L309" s="41">
        <f t="shared" si="15"/>
        <v>165478.55000000002</v>
      </c>
      <c r="N309" s="267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69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5" t="s">
        <v>693</v>
      </c>
      <c r="G311" s="175" t="s">
        <v>694</v>
      </c>
      <c r="H311" s="175" t="s">
        <v>695</v>
      </c>
      <c r="I311" s="175" t="s">
        <v>696</v>
      </c>
      <c r="J311" s="175" t="s">
        <v>697</v>
      </c>
      <c r="K311" s="175" t="s">
        <v>698</v>
      </c>
      <c r="L311" s="20"/>
      <c r="M311" s="8"/>
      <c r="N311" s="269"/>
    </row>
    <row r="312" spans="1:14" s="3" customFormat="1" ht="12" customHeight="1" x14ac:dyDescent="0.15">
      <c r="A312" s="29" t="s">
        <v>454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69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69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/>
      <c r="G314" s="18"/>
      <c r="H314" s="18">
        <f>1300+243.62</f>
        <v>1543.62</v>
      </c>
      <c r="I314" s="18">
        <v>2230.71</v>
      </c>
      <c r="J314" s="18">
        <v>7256</v>
      </c>
      <c r="K314" s="18"/>
      <c r="L314" s="19">
        <f>SUM(F314:K314)</f>
        <v>11030.33</v>
      </c>
      <c r="M314" s="8"/>
      <c r="N314" s="269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69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69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>
        <v>6148.53</v>
      </c>
      <c r="G317" s="18">
        <v>831.13</v>
      </c>
      <c r="H317" s="18"/>
      <c r="I317" s="18">
        <v>412.31</v>
      </c>
      <c r="J317" s="18"/>
      <c r="K317" s="18"/>
      <c r="L317" s="19">
        <f>SUM(F317:K317)</f>
        <v>7391.97</v>
      </c>
      <c r="M317" s="8"/>
      <c r="N317" s="269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69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/>
      <c r="G319" s="18"/>
      <c r="H319" s="18">
        <f>4350+47.82</f>
        <v>4397.82</v>
      </c>
      <c r="I319" s="18">
        <v>2277.35</v>
      </c>
      <c r="J319" s="18"/>
      <c r="K319" s="18">
        <v>2177.5</v>
      </c>
      <c r="L319" s="19">
        <f t="shared" ref="L319:L325" si="16">SUM(F319:K319)</f>
        <v>8852.67</v>
      </c>
      <c r="M319" s="8"/>
      <c r="N319" s="269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69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69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69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69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/>
      <c r="G324" s="18"/>
      <c r="H324" s="18"/>
      <c r="I324" s="18">
        <v>3805.04</v>
      </c>
      <c r="J324" s="18">
        <v>22837.73</v>
      </c>
      <c r="K324" s="18"/>
      <c r="L324" s="19">
        <f t="shared" si="16"/>
        <v>26642.77</v>
      </c>
      <c r="M324" s="8"/>
      <c r="N324" s="269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/>
      <c r="G325" s="18"/>
      <c r="H325" s="18">
        <v>1906.49</v>
      </c>
      <c r="I325" s="18"/>
      <c r="J325" s="18"/>
      <c r="K325" s="18"/>
      <c r="L325" s="19">
        <f t="shared" si="16"/>
        <v>1906.49</v>
      </c>
      <c r="M325" s="8"/>
      <c r="N325" s="269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69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69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6148.53</v>
      </c>
      <c r="G328" s="42">
        <f t="shared" si="17"/>
        <v>831.13</v>
      </c>
      <c r="H328" s="42">
        <f t="shared" si="17"/>
        <v>7847.9299999999994</v>
      </c>
      <c r="I328" s="42">
        <f t="shared" si="17"/>
        <v>8725.41</v>
      </c>
      <c r="J328" s="42">
        <f t="shared" si="17"/>
        <v>30093.73</v>
      </c>
      <c r="K328" s="42">
        <f t="shared" si="17"/>
        <v>2177.5</v>
      </c>
      <c r="L328" s="41">
        <f t="shared" si="17"/>
        <v>55824.23</v>
      </c>
      <c r="M328" s="8"/>
      <c r="N328" s="269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69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5" t="s">
        <v>693</v>
      </c>
      <c r="G330" s="175" t="s">
        <v>694</v>
      </c>
      <c r="H330" s="175" t="s">
        <v>695</v>
      </c>
      <c r="I330" s="175" t="s">
        <v>696</v>
      </c>
      <c r="J330" s="175" t="s">
        <v>697</v>
      </c>
      <c r="K330" s="175" t="s">
        <v>698</v>
      </c>
      <c r="L330" s="19"/>
      <c r="M330" s="8"/>
      <c r="N330" s="269"/>
    </row>
    <row r="331" spans="1:14" s="3" customFormat="1" ht="12" customHeight="1" x14ac:dyDescent="0.15">
      <c r="A331" s="29" t="s">
        <v>362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69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69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69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69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69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69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69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302215.93000000005</v>
      </c>
      <c r="G338" s="41">
        <f t="shared" si="20"/>
        <v>129431.12</v>
      </c>
      <c r="H338" s="41">
        <f t="shared" si="20"/>
        <v>35017.89</v>
      </c>
      <c r="I338" s="41">
        <f t="shared" si="20"/>
        <v>13178.150000000001</v>
      </c>
      <c r="J338" s="41">
        <f t="shared" si="20"/>
        <v>57268.31</v>
      </c>
      <c r="K338" s="41">
        <f t="shared" si="20"/>
        <v>7454.5</v>
      </c>
      <c r="L338" s="41">
        <f t="shared" si="20"/>
        <v>544565.9</v>
      </c>
      <c r="M338" s="8"/>
      <c r="N338" s="269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69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69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69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/>
      <c r="L342" s="19">
        <f>SUM(F342:K342)</f>
        <v>0</v>
      </c>
      <c r="M342" s="8"/>
      <c r="N342" s="269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68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ref="L344:L350" si="21">SUM(F344:K344)</f>
        <v>0</v>
      </c>
      <c r="M344" s="8"/>
      <c r="N344" s="269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69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69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/>
      <c r="L347" s="19">
        <f t="shared" si="21"/>
        <v>0</v>
      </c>
      <c r="M347" s="8"/>
      <c r="N347" s="269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69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69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/>
      <c r="L350" s="19">
        <f t="shared" si="21"/>
        <v>0</v>
      </c>
      <c r="M350" s="8"/>
      <c r="N350" s="269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0</v>
      </c>
      <c r="L351" s="41">
        <f>SUM(L341:L350)</f>
        <v>0</v>
      </c>
      <c r="M351" s="8"/>
      <c r="N351" s="269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302215.93000000005</v>
      </c>
      <c r="G352" s="41">
        <f>G338</f>
        <v>129431.12</v>
      </c>
      <c r="H352" s="41">
        <f>H338</f>
        <v>35017.89</v>
      </c>
      <c r="I352" s="41">
        <f>I338</f>
        <v>13178.150000000001</v>
      </c>
      <c r="J352" s="41">
        <f>J338</f>
        <v>57268.31</v>
      </c>
      <c r="K352" s="47">
        <f>K338+K351</f>
        <v>7454.5</v>
      </c>
      <c r="L352" s="41">
        <f>L338+L351</f>
        <v>544565.9</v>
      </c>
      <c r="M352" s="52"/>
      <c r="N352" s="268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69"/>
    </row>
    <row r="354" spans="1:22" s="3" customFormat="1" ht="12" customHeight="1" x14ac:dyDescent="0.2">
      <c r="A354" s="54"/>
      <c r="B354" s="52"/>
      <c r="C354" s="52"/>
      <c r="D354" s="52"/>
      <c r="E354" s="52"/>
      <c r="F354" s="175" t="s">
        <v>693</v>
      </c>
      <c r="G354" s="175" t="s">
        <v>694</v>
      </c>
      <c r="H354" s="175" t="s">
        <v>695</v>
      </c>
      <c r="I354" s="175" t="s">
        <v>696</v>
      </c>
      <c r="J354" s="175" t="s">
        <v>697</v>
      </c>
      <c r="K354" s="175" t="s">
        <v>698</v>
      </c>
      <c r="L354" s="53"/>
      <c r="M354" s="8"/>
      <c r="N354" s="269"/>
    </row>
    <row r="355" spans="1:22" s="3" customFormat="1" ht="12" customHeight="1" x14ac:dyDescent="0.15">
      <c r="A355" s="29" t="s">
        <v>282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69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69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69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/>
      <c r="G358" s="18"/>
      <c r="H358" s="18">
        <f>101949.62+753.8+208</f>
        <v>102911.42</v>
      </c>
      <c r="I358" s="18"/>
      <c r="J358" s="18">
        <v>2199</v>
      </c>
      <c r="K358" s="18"/>
      <c r="L358" s="13">
        <f>SUM(F358:K358)</f>
        <v>105110.42</v>
      </c>
      <c r="N358" s="267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>
        <v>18854.41</v>
      </c>
      <c r="G359" s="18">
        <v>10435.26</v>
      </c>
      <c r="H359" s="18">
        <f>112673.58+1448.23+234</f>
        <v>114355.81</v>
      </c>
      <c r="I359" s="18"/>
      <c r="J359" s="18">
        <v>2361.9899999999998</v>
      </c>
      <c r="K359" s="18"/>
      <c r="L359" s="19">
        <f>SUM(F359:K359)</f>
        <v>146007.46999999997</v>
      </c>
      <c r="M359" s="8"/>
      <c r="N359" s="269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/>
      <c r="G360" s="18"/>
      <c r="H360" s="18">
        <f>90952.2+479+208</f>
        <v>91639.2</v>
      </c>
      <c r="I360" s="18">
        <v>24.78</v>
      </c>
      <c r="J360" s="18"/>
      <c r="K360" s="18"/>
      <c r="L360" s="19">
        <f>SUM(F360:K360)</f>
        <v>91663.98</v>
      </c>
      <c r="M360" s="8"/>
      <c r="N360" s="269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/>
      <c r="L361" s="13">
        <f>SUM(F361:K361)</f>
        <v>0</v>
      </c>
      <c r="M361" s="8"/>
      <c r="N361" s="269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18854.41</v>
      </c>
      <c r="G362" s="47">
        <f t="shared" si="22"/>
        <v>10435.26</v>
      </c>
      <c r="H362" s="47">
        <f t="shared" si="22"/>
        <v>308906.43</v>
      </c>
      <c r="I362" s="47">
        <f t="shared" si="22"/>
        <v>24.78</v>
      </c>
      <c r="J362" s="47">
        <f t="shared" si="22"/>
        <v>4560.99</v>
      </c>
      <c r="K362" s="47">
        <f t="shared" si="22"/>
        <v>0</v>
      </c>
      <c r="L362" s="47">
        <f t="shared" si="22"/>
        <v>342781.86999999994</v>
      </c>
      <c r="M362" s="8"/>
      <c r="N362" s="269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69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69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69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69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/>
      <c r="G367" s="18"/>
      <c r="H367" s="18"/>
      <c r="I367" s="56">
        <f>SUM(F367:H367)</f>
        <v>0</v>
      </c>
      <c r="J367" s="24" t="s">
        <v>289</v>
      </c>
      <c r="K367" s="24" t="s">
        <v>289</v>
      </c>
      <c r="L367" s="24" t="s">
        <v>289</v>
      </c>
      <c r="M367" s="8"/>
      <c r="N367" s="269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63"/>
      <c r="G368" s="63"/>
      <c r="H368" s="63">
        <v>24.78</v>
      </c>
      <c r="I368" s="56">
        <f>SUM(F368:H368)</f>
        <v>24.78</v>
      </c>
      <c r="J368" s="24" t="s">
        <v>289</v>
      </c>
      <c r="K368" s="24" t="s">
        <v>289</v>
      </c>
      <c r="L368" s="24" t="s">
        <v>289</v>
      </c>
      <c r="M368" s="8"/>
      <c r="N368" s="269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0</v>
      </c>
      <c r="G369" s="47">
        <f>SUM(G367:G368)</f>
        <v>0</v>
      </c>
      <c r="H369" s="47">
        <f>SUM(H367:H368)</f>
        <v>24.78</v>
      </c>
      <c r="I369" s="47">
        <f>SUM(I367:I368)</f>
        <v>24.78</v>
      </c>
      <c r="J369" s="24" t="s">
        <v>289</v>
      </c>
      <c r="K369" s="24" t="s">
        <v>289</v>
      </c>
      <c r="L369" s="24" t="s">
        <v>289</v>
      </c>
      <c r="M369" s="8"/>
      <c r="N369" s="269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69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5" t="s">
        <v>693</v>
      </c>
      <c r="G371" s="175" t="s">
        <v>694</v>
      </c>
      <c r="H371" s="175" t="s">
        <v>695</v>
      </c>
      <c r="I371" s="175" t="s">
        <v>696</v>
      </c>
      <c r="J371" s="175" t="s">
        <v>697</v>
      </c>
      <c r="K371" s="175" t="s">
        <v>698</v>
      </c>
      <c r="L371" s="13"/>
      <c r="M371" s="8"/>
      <c r="N371" s="269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69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69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69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69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69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69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69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69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69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/>
      <c r="L381" s="13">
        <f t="shared" si="23"/>
        <v>0</v>
      </c>
      <c r="M381" s="8"/>
      <c r="N381" s="269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69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69"/>
    </row>
    <row r="384" spans="1:14" s="3" customFormat="1" ht="12" customHeight="1" x14ac:dyDescent="0.15">
      <c r="A384" s="26" t="s">
        <v>483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69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69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7" t="s">
        <v>341</v>
      </c>
      <c r="M386" s="8"/>
      <c r="N386" s="269"/>
    </row>
    <row r="387" spans="1:14" s="3" customFormat="1" ht="12" customHeight="1" x14ac:dyDescent="0.15">
      <c r="A387" s="79" t="s">
        <v>553</v>
      </c>
      <c r="B387" s="2" t="s">
        <v>382</v>
      </c>
      <c r="C387" s="6">
        <v>1</v>
      </c>
      <c r="D387" s="2" t="s">
        <v>433</v>
      </c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ref="L387:L392" si="25">SUM(F387:K387)</f>
        <v>0</v>
      </c>
      <c r="M387" s="8"/>
      <c r="N387" s="269"/>
    </row>
    <row r="388" spans="1:14" s="3" customFormat="1" ht="12" customHeight="1" x14ac:dyDescent="0.15">
      <c r="A388" s="79" t="s">
        <v>554</v>
      </c>
      <c r="B388" s="2" t="s">
        <v>382</v>
      </c>
      <c r="C388" s="6">
        <v>2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69"/>
    </row>
    <row r="389" spans="1:14" s="3" customFormat="1" ht="12" customHeight="1" x14ac:dyDescent="0.15">
      <c r="A389" s="79" t="s">
        <v>555</v>
      </c>
      <c r="B389" s="2" t="s">
        <v>382</v>
      </c>
      <c r="C389" s="6">
        <v>3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69"/>
    </row>
    <row r="390" spans="1:14" s="3" customFormat="1" ht="12" customHeight="1" x14ac:dyDescent="0.15">
      <c r="A390" s="79" t="s">
        <v>556</v>
      </c>
      <c r="B390" s="2" t="s">
        <v>382</v>
      </c>
      <c r="C390" s="6">
        <v>4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69"/>
    </row>
    <row r="391" spans="1:14" s="3" customFormat="1" ht="12" customHeight="1" x14ac:dyDescent="0.15">
      <c r="A391" s="79" t="s">
        <v>557</v>
      </c>
      <c r="B391" s="2" t="s">
        <v>382</v>
      </c>
      <c r="C391" s="6">
        <v>5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69"/>
    </row>
    <row r="392" spans="1:14" s="3" customFormat="1" ht="12" customHeight="1" thickBot="1" x14ac:dyDescent="0.2">
      <c r="A392" s="79" t="s">
        <v>558</v>
      </c>
      <c r="B392" s="2" t="s">
        <v>382</v>
      </c>
      <c r="C392" s="6">
        <v>6</v>
      </c>
      <c r="D392" s="2" t="s">
        <v>433</v>
      </c>
      <c r="E392" s="6"/>
      <c r="F392" s="18"/>
      <c r="G392" s="18"/>
      <c r="H392" s="18"/>
      <c r="I392" s="18"/>
      <c r="J392" s="24" t="s">
        <v>289</v>
      </c>
      <c r="K392" s="24" t="s">
        <v>289</v>
      </c>
      <c r="L392" s="56">
        <f t="shared" si="25"/>
        <v>0</v>
      </c>
      <c r="M392" s="8"/>
      <c r="N392" s="269"/>
    </row>
    <row r="393" spans="1:14" s="3" customFormat="1" ht="12" customHeight="1" thickTop="1" x14ac:dyDescent="0.15">
      <c r="A393" s="158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0</v>
      </c>
      <c r="I393" s="65">
        <f>SUM(I387:I392)</f>
        <v>0</v>
      </c>
      <c r="J393" s="45" t="s">
        <v>289</v>
      </c>
      <c r="K393" s="45" t="s">
        <v>289</v>
      </c>
      <c r="L393" s="47">
        <f>SUM(L387:L392)</f>
        <v>0</v>
      </c>
      <c r="M393" s="8"/>
      <c r="N393" s="269"/>
    </row>
    <row r="394" spans="1:14" s="3" customFormat="1" ht="12" customHeight="1" x14ac:dyDescent="0.15">
      <c r="A394" s="78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69"/>
    </row>
    <row r="395" spans="1:14" s="3" customFormat="1" ht="12" customHeight="1" x14ac:dyDescent="0.15">
      <c r="A395" s="79" t="s">
        <v>559</v>
      </c>
      <c r="B395" s="2" t="s">
        <v>382</v>
      </c>
      <c r="C395" s="6">
        <v>8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ref="L395:L400" si="26">SUM(F395:K395)</f>
        <v>0</v>
      </c>
      <c r="M395" s="8"/>
      <c r="N395" s="269"/>
    </row>
    <row r="396" spans="1:14" s="3" customFormat="1" ht="12" customHeight="1" x14ac:dyDescent="0.15">
      <c r="A396" s="79" t="s">
        <v>560</v>
      </c>
      <c r="B396" s="2" t="s">
        <v>382</v>
      </c>
      <c r="C396" s="6">
        <v>9</v>
      </c>
      <c r="D396" s="2" t="s">
        <v>433</v>
      </c>
      <c r="E396" s="6"/>
      <c r="F396" s="18"/>
      <c r="G396" s="18">
        <v>60000</v>
      </c>
      <c r="H396" s="18"/>
      <c r="I396" s="18"/>
      <c r="J396" s="24" t="s">
        <v>289</v>
      </c>
      <c r="K396" s="24" t="s">
        <v>289</v>
      </c>
      <c r="L396" s="56">
        <f t="shared" si="26"/>
        <v>60000</v>
      </c>
      <c r="M396" s="8"/>
      <c r="N396" s="269"/>
    </row>
    <row r="397" spans="1:14" s="3" customFormat="1" ht="12" customHeight="1" x14ac:dyDescent="0.15">
      <c r="A397" s="79" t="s">
        <v>518</v>
      </c>
      <c r="B397" s="2" t="s">
        <v>382</v>
      </c>
      <c r="C397" s="6">
        <v>10</v>
      </c>
      <c r="D397" s="2" t="s">
        <v>433</v>
      </c>
      <c r="E397" s="6"/>
      <c r="F397" s="18"/>
      <c r="G397" s="18">
        <v>0</v>
      </c>
      <c r="H397" s="18"/>
      <c r="I397" s="18"/>
      <c r="J397" s="24" t="s">
        <v>289</v>
      </c>
      <c r="K397" s="24" t="s">
        <v>289</v>
      </c>
      <c r="L397" s="56">
        <f t="shared" si="26"/>
        <v>0</v>
      </c>
      <c r="M397" s="8"/>
      <c r="N397" s="269"/>
    </row>
    <row r="398" spans="1:14" s="3" customFormat="1" ht="12" customHeight="1" x14ac:dyDescent="0.15">
      <c r="A398" s="79" t="s">
        <v>561</v>
      </c>
      <c r="B398" s="2" t="s">
        <v>382</v>
      </c>
      <c r="C398" s="6">
        <v>11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69"/>
    </row>
    <row r="399" spans="1:14" s="3" customFormat="1" ht="12" customHeight="1" x14ac:dyDescent="0.15">
      <c r="A399" s="79" t="s">
        <v>562</v>
      </c>
      <c r="B399" s="2" t="s">
        <v>382</v>
      </c>
      <c r="C399" s="6">
        <v>12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69"/>
    </row>
    <row r="400" spans="1:14" s="3" customFormat="1" ht="12" customHeight="1" thickBot="1" x14ac:dyDescent="0.2">
      <c r="A400" s="79" t="s">
        <v>513</v>
      </c>
      <c r="B400" s="2" t="s">
        <v>382</v>
      </c>
      <c r="C400" s="6">
        <v>13</v>
      </c>
      <c r="D400" s="2" t="s">
        <v>433</v>
      </c>
      <c r="E400" s="6"/>
      <c r="F400" s="18"/>
      <c r="G400" s="18">
        <v>20000</v>
      </c>
      <c r="H400" s="18"/>
      <c r="I400" s="18"/>
      <c r="J400" s="24" t="s">
        <v>289</v>
      </c>
      <c r="K400" s="24" t="s">
        <v>289</v>
      </c>
      <c r="L400" s="56">
        <f t="shared" si="26"/>
        <v>20000</v>
      </c>
      <c r="M400" s="8"/>
      <c r="N400" s="269"/>
    </row>
    <row r="401" spans="1:21" s="3" customFormat="1" ht="12" customHeight="1" thickTop="1" x14ac:dyDescent="0.15">
      <c r="A401" s="158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80000</v>
      </c>
      <c r="H401" s="47">
        <f>SUM(H395:H400)</f>
        <v>0</v>
      </c>
      <c r="I401" s="47">
        <f>SUM(I395:I400)</f>
        <v>0</v>
      </c>
      <c r="J401" s="45" t="s">
        <v>289</v>
      </c>
      <c r="K401" s="45" t="s">
        <v>289</v>
      </c>
      <c r="L401" s="47">
        <f>SUM(L395:L400)</f>
        <v>80000</v>
      </c>
      <c r="M401" s="8"/>
      <c r="N401" s="269"/>
    </row>
    <row r="402" spans="1:21" s="3" customFormat="1" ht="12" customHeight="1" x14ac:dyDescent="0.15">
      <c r="A402" s="78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69"/>
    </row>
    <row r="403" spans="1:21" s="3" customFormat="1" ht="12" customHeight="1" x14ac:dyDescent="0.15">
      <c r="A403" s="110"/>
      <c r="B403" s="2" t="s">
        <v>382</v>
      </c>
      <c r="C403" s="6">
        <v>15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69"/>
    </row>
    <row r="404" spans="1:21" s="3" customFormat="1" ht="12" customHeight="1" x14ac:dyDescent="0.15">
      <c r="A404" s="110"/>
      <c r="B404" s="2" t="s">
        <v>382</v>
      </c>
      <c r="C404" s="6">
        <v>16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69"/>
    </row>
    <row r="405" spans="1:21" s="3" customFormat="1" ht="12" customHeight="1" x14ac:dyDescent="0.15">
      <c r="A405" s="110"/>
      <c r="B405" s="2" t="s">
        <v>382</v>
      </c>
      <c r="C405" s="6">
        <v>17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69"/>
    </row>
    <row r="406" spans="1:21" s="3" customFormat="1" ht="12" customHeight="1" thickBot="1" x14ac:dyDescent="0.2">
      <c r="A406" s="110"/>
      <c r="B406" s="2" t="s">
        <v>382</v>
      </c>
      <c r="C406" s="6">
        <v>18</v>
      </c>
      <c r="D406" s="2" t="s">
        <v>433</v>
      </c>
      <c r="E406" s="6"/>
      <c r="F406" s="18"/>
      <c r="G406" s="18"/>
      <c r="H406" s="18"/>
      <c r="I406" s="18"/>
      <c r="J406" s="24" t="s">
        <v>289</v>
      </c>
      <c r="K406" s="24" t="s">
        <v>289</v>
      </c>
      <c r="L406" s="56">
        <f>SUM(F406:K406)</f>
        <v>0</v>
      </c>
      <c r="M406" s="8"/>
      <c r="N406" s="269"/>
    </row>
    <row r="407" spans="1:21" s="3" customFormat="1" ht="12" customHeight="1" thickTop="1" thickBot="1" x14ac:dyDescent="0.2">
      <c r="A407" s="158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289</v>
      </c>
      <c r="K407" s="49" t="s">
        <v>289</v>
      </c>
      <c r="L407" s="47">
        <f>SUM(L403:L406)</f>
        <v>0</v>
      </c>
      <c r="M407" s="8"/>
      <c r="N407" s="269"/>
    </row>
    <row r="408" spans="1:21" s="3" customFormat="1" ht="12" customHeight="1" thickTop="1" x14ac:dyDescent="0.15">
      <c r="A408" s="78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80000</v>
      </c>
      <c r="H408" s="47">
        <f>H393+H401+H407</f>
        <v>0</v>
      </c>
      <c r="I408" s="47">
        <f>I393+I401+I407</f>
        <v>0</v>
      </c>
      <c r="J408" s="24" t="s">
        <v>289</v>
      </c>
      <c r="K408" s="24" t="s">
        <v>289</v>
      </c>
      <c r="L408" s="47">
        <f>L393+L401+L407</f>
        <v>80000</v>
      </c>
      <c r="M408" s="8"/>
      <c r="N408" s="269"/>
    </row>
    <row r="409" spans="1:21" s="3" customFormat="1" ht="12" customHeight="1" x14ac:dyDescent="0.15">
      <c r="A409" s="78"/>
      <c r="B409" s="2"/>
      <c r="C409" s="6"/>
      <c r="D409" s="6"/>
      <c r="E409" s="6"/>
      <c r="F409" s="175" t="s">
        <v>693</v>
      </c>
      <c r="G409" s="175" t="s">
        <v>694</v>
      </c>
      <c r="H409" s="175" t="s">
        <v>695</v>
      </c>
      <c r="I409" s="175" t="s">
        <v>696</v>
      </c>
      <c r="J409" s="175" t="s">
        <v>697</v>
      </c>
      <c r="K409" s="175" t="s">
        <v>698</v>
      </c>
      <c r="L409" s="56"/>
      <c r="M409" s="8"/>
      <c r="N409" s="269"/>
    </row>
    <row r="410" spans="1:21" s="3" customFormat="1" ht="12" customHeight="1" x14ac:dyDescent="0.15">
      <c r="A410" s="26" t="s">
        <v>483</v>
      </c>
      <c r="B410" s="76"/>
      <c r="C410" s="76"/>
      <c r="D410" s="76"/>
      <c r="E410" s="76"/>
      <c r="F410" s="66"/>
      <c r="G410" s="16" t="s">
        <v>385</v>
      </c>
      <c r="H410" s="16" t="s">
        <v>386</v>
      </c>
      <c r="I410" s="67"/>
      <c r="J410" s="56"/>
      <c r="K410" s="56"/>
      <c r="L410" s="56"/>
      <c r="M410" s="8"/>
      <c r="N410" s="269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7" t="s">
        <v>341</v>
      </c>
      <c r="M411" s="8"/>
      <c r="N411" s="269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69"/>
    </row>
    <row r="413" spans="1:21" s="3" customFormat="1" ht="12" customHeight="1" x14ac:dyDescent="0.15">
      <c r="A413" s="79" t="s">
        <v>553</v>
      </c>
      <c r="B413" s="6">
        <v>17</v>
      </c>
      <c r="C413" s="6">
        <v>1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69"/>
    </row>
    <row r="414" spans="1:21" s="12" customFormat="1" ht="12" customHeight="1" thickBot="1" x14ac:dyDescent="0.25">
      <c r="A414" s="79" t="s">
        <v>554</v>
      </c>
      <c r="B414" s="6">
        <v>17</v>
      </c>
      <c r="C414" s="6">
        <v>2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68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555</v>
      </c>
      <c r="B415" s="6">
        <v>17</v>
      </c>
      <c r="C415" s="6">
        <v>3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4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556</v>
      </c>
      <c r="B416" s="6">
        <v>17</v>
      </c>
      <c r="C416" s="6">
        <v>4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69"/>
    </row>
    <row r="417" spans="1:21" s="3" customFormat="1" ht="12" customHeight="1" x14ac:dyDescent="0.15">
      <c r="A417" s="79" t="s">
        <v>557</v>
      </c>
      <c r="B417" s="6">
        <v>17</v>
      </c>
      <c r="C417" s="6">
        <v>5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69"/>
    </row>
    <row r="418" spans="1:21" s="3" customFormat="1" ht="12" customHeight="1" thickBot="1" x14ac:dyDescent="0.2">
      <c r="A418" s="79" t="s">
        <v>558</v>
      </c>
      <c r="B418" s="6">
        <v>17</v>
      </c>
      <c r="C418" s="6">
        <v>6</v>
      </c>
      <c r="D418" s="2" t="s">
        <v>433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69"/>
    </row>
    <row r="419" spans="1:21" s="3" customFormat="1" ht="12" customHeight="1" thickTop="1" x14ac:dyDescent="0.15">
      <c r="A419" s="158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69"/>
    </row>
    <row r="420" spans="1:21" s="3" customFormat="1" ht="12" customHeight="1" x14ac:dyDescent="0.15">
      <c r="A420" s="78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69"/>
    </row>
    <row r="421" spans="1:21" s="3" customFormat="1" ht="12" customHeight="1" x14ac:dyDescent="0.15">
      <c r="A421" s="79" t="s">
        <v>559</v>
      </c>
      <c r="B421" s="6">
        <v>17</v>
      </c>
      <c r="C421" s="6">
        <v>8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69"/>
    </row>
    <row r="422" spans="1:21" s="3" customFormat="1" ht="12" customHeight="1" x14ac:dyDescent="0.15">
      <c r="A422" s="79" t="s">
        <v>560</v>
      </c>
      <c r="B422" s="6">
        <v>17</v>
      </c>
      <c r="C422" s="6">
        <v>9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69"/>
    </row>
    <row r="423" spans="1:21" s="3" customFormat="1" ht="12" customHeight="1" x14ac:dyDescent="0.15">
      <c r="A423" s="79" t="s">
        <v>518</v>
      </c>
      <c r="B423" s="6">
        <v>17</v>
      </c>
      <c r="C423" s="6">
        <v>10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69"/>
    </row>
    <row r="424" spans="1:21" s="3" customFormat="1" ht="12" customHeight="1" x14ac:dyDescent="0.15">
      <c r="A424" s="79" t="s">
        <v>561</v>
      </c>
      <c r="B424" s="6">
        <v>17</v>
      </c>
      <c r="C424" s="6">
        <v>11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69"/>
    </row>
    <row r="425" spans="1:21" s="3" customFormat="1" ht="12" customHeight="1" x14ac:dyDescent="0.15">
      <c r="A425" s="79" t="s">
        <v>562</v>
      </c>
      <c r="B425" s="6">
        <v>17</v>
      </c>
      <c r="C425" s="6">
        <v>12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69"/>
    </row>
    <row r="426" spans="1:21" s="3" customFormat="1" ht="12" customHeight="1" thickBot="1" x14ac:dyDescent="0.2">
      <c r="A426" s="79" t="s">
        <v>513</v>
      </c>
      <c r="B426" s="6">
        <v>17</v>
      </c>
      <c r="C426" s="6">
        <v>13</v>
      </c>
      <c r="D426" s="2" t="s">
        <v>433</v>
      </c>
      <c r="E426" s="6"/>
      <c r="F426" s="18"/>
      <c r="G426" s="18"/>
      <c r="H426" s="18"/>
      <c r="I426" s="18"/>
      <c r="J426" s="18"/>
      <c r="K426" s="18">
        <v>80000</v>
      </c>
      <c r="L426" s="56">
        <f t="shared" si="29"/>
        <v>80000</v>
      </c>
      <c r="M426" s="8"/>
      <c r="N426" s="269"/>
    </row>
    <row r="427" spans="1:21" s="3" customFormat="1" ht="12" customHeight="1" thickTop="1" x14ac:dyDescent="0.15">
      <c r="A427" s="158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80000</v>
      </c>
      <c r="L427" s="47">
        <f t="shared" si="30"/>
        <v>80000</v>
      </c>
      <c r="M427" s="8"/>
      <c r="N427" s="269"/>
    </row>
    <row r="428" spans="1:21" s="11" customFormat="1" ht="12" customHeight="1" x14ac:dyDescent="0.15">
      <c r="A428" s="78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8"/>
      <c r="N428" s="224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4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4"/>
    </row>
    <row r="431" spans="1:21" ht="12" customHeight="1" x14ac:dyDescent="0.2">
      <c r="A431" s="110"/>
      <c r="B431" s="6">
        <v>17</v>
      </c>
      <c r="C431" s="6">
        <v>17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67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433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69"/>
    </row>
    <row r="433" spans="1:14" s="3" customFormat="1" ht="12" customHeight="1" thickTop="1" thickBot="1" x14ac:dyDescent="0.2">
      <c r="A433" s="158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69"/>
    </row>
    <row r="434" spans="1:14" s="3" customFormat="1" ht="12" customHeight="1" thickTop="1" x14ac:dyDescent="0.15">
      <c r="A434" s="78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80000</v>
      </c>
      <c r="L434" s="47">
        <f t="shared" si="32"/>
        <v>80000</v>
      </c>
      <c r="M434" s="8"/>
      <c r="N434" s="269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69"/>
    </row>
    <row r="436" spans="1:14" s="3" customFormat="1" ht="12" customHeight="1" x14ac:dyDescent="0.15">
      <c r="A436" s="34" t="s">
        <v>0</v>
      </c>
      <c r="K436" s="56"/>
      <c r="L436" s="13"/>
      <c r="M436" s="8"/>
      <c r="N436" s="269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69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69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/>
      <c r="G439" s="18"/>
      <c r="H439" s="18"/>
      <c r="I439" s="56">
        <f t="shared" ref="I439:I445" si="33">SUM(F439:H439)</f>
        <v>0</v>
      </c>
      <c r="J439" s="24" t="s">
        <v>289</v>
      </c>
      <c r="K439" s="24" t="s">
        <v>289</v>
      </c>
      <c r="L439" s="24" t="s">
        <v>289</v>
      </c>
      <c r="M439" s="8"/>
      <c r="N439" s="269"/>
    </row>
    <row r="440" spans="1:14" s="3" customFormat="1" ht="12" customHeight="1" x14ac:dyDescent="0.15">
      <c r="A440" s="69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/>
      <c r="G440" s="18">
        <v>80000</v>
      </c>
      <c r="H440" s="18"/>
      <c r="I440" s="56">
        <f t="shared" si="33"/>
        <v>80000</v>
      </c>
      <c r="J440" s="24" t="s">
        <v>289</v>
      </c>
      <c r="K440" s="24" t="s">
        <v>289</v>
      </c>
      <c r="L440" s="24" t="s">
        <v>289</v>
      </c>
      <c r="M440" s="8"/>
      <c r="N440" s="269"/>
    </row>
    <row r="441" spans="1:14" s="3" customFormat="1" ht="12" customHeight="1" x14ac:dyDescent="0.15">
      <c r="A441" s="69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69"/>
    </row>
    <row r="442" spans="1:14" s="3" customFormat="1" ht="12" customHeight="1" x14ac:dyDescent="0.15">
      <c r="A442" s="69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69"/>
    </row>
    <row r="443" spans="1:14" s="3" customFormat="1" ht="12" customHeight="1" x14ac:dyDescent="0.15">
      <c r="A443" s="69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69"/>
    </row>
    <row r="444" spans="1:14" s="3" customFormat="1" ht="12" customHeight="1" x14ac:dyDescent="0.15">
      <c r="A444" s="69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69"/>
    </row>
    <row r="445" spans="1:14" s="3" customFormat="1" ht="12" customHeight="1" x14ac:dyDescent="0.15">
      <c r="A445" s="69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289</v>
      </c>
      <c r="K445" s="24" t="s">
        <v>289</v>
      </c>
      <c r="L445" s="24" t="s">
        <v>289</v>
      </c>
      <c r="M445" s="8"/>
      <c r="N445" s="269"/>
    </row>
    <row r="446" spans="1:14" s="3" customFormat="1" ht="12" customHeight="1" thickBot="1" x14ac:dyDescent="0.2">
      <c r="A446" s="70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0</v>
      </c>
      <c r="G446" s="13">
        <f>SUM(G439:G445)</f>
        <v>80000</v>
      </c>
      <c r="H446" s="13">
        <f>SUM(H439:H445)</f>
        <v>0</v>
      </c>
      <c r="I446" s="13">
        <f>SUM(I439:I445)</f>
        <v>80000</v>
      </c>
      <c r="J446" s="24" t="s">
        <v>289</v>
      </c>
      <c r="K446" s="24" t="s">
        <v>289</v>
      </c>
      <c r="L446" s="24" t="s">
        <v>289</v>
      </c>
      <c r="M446" s="8"/>
      <c r="N446" s="269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69"/>
    </row>
    <row r="448" spans="1:14" s="3" customFormat="1" ht="12" customHeight="1" x14ac:dyDescent="0.15">
      <c r="A448" s="69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69"/>
    </row>
    <row r="449" spans="1:23" s="3" customFormat="1" ht="12" customHeight="1" x14ac:dyDescent="0.15">
      <c r="A449" s="69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/>
      <c r="G449" s="18">
        <v>80000</v>
      </c>
      <c r="H449" s="18"/>
      <c r="I449" s="56">
        <f>SUM(F449:H449)</f>
        <v>80000</v>
      </c>
      <c r="J449" s="24" t="s">
        <v>289</v>
      </c>
      <c r="K449" s="24" t="s">
        <v>289</v>
      </c>
      <c r="L449" s="24" t="s">
        <v>289</v>
      </c>
      <c r="M449" s="8"/>
      <c r="N449" s="269"/>
    </row>
    <row r="450" spans="1:23" s="3" customFormat="1" ht="12" customHeight="1" x14ac:dyDescent="0.15">
      <c r="A450" s="69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69"/>
    </row>
    <row r="451" spans="1:23" s="3" customFormat="1" ht="12" customHeight="1" x14ac:dyDescent="0.15">
      <c r="A451" s="69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69"/>
    </row>
    <row r="452" spans="1:23" s="3" customFormat="1" ht="12" customHeight="1" thickBot="1" x14ac:dyDescent="0.2">
      <c r="A452" s="74" t="s">
        <v>424</v>
      </c>
      <c r="B452" s="73">
        <v>18</v>
      </c>
      <c r="C452" s="71">
        <v>13</v>
      </c>
      <c r="D452" s="2" t="s">
        <v>433</v>
      </c>
      <c r="E452" s="71"/>
      <c r="F452" s="72">
        <f>SUM(F448:F451)</f>
        <v>0</v>
      </c>
      <c r="G452" s="72">
        <f>SUM(G448:G451)</f>
        <v>80000</v>
      </c>
      <c r="H452" s="72">
        <f>SUM(H448:H451)</f>
        <v>0</v>
      </c>
      <c r="I452" s="72">
        <f>SUM(I448:I451)</f>
        <v>80000</v>
      </c>
      <c r="J452" s="24" t="s">
        <v>289</v>
      </c>
      <c r="K452" s="24" t="s">
        <v>289</v>
      </c>
      <c r="L452" s="24" t="s">
        <v>289</v>
      </c>
      <c r="M452" s="8"/>
      <c r="N452" s="269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69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289</v>
      </c>
      <c r="K454" s="24" t="s">
        <v>289</v>
      </c>
      <c r="L454" s="24" t="s">
        <v>289</v>
      </c>
      <c r="M454" s="8"/>
      <c r="N454" s="269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69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8"/>
      <c r="N456" s="269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289</v>
      </c>
      <c r="K457" s="24" t="s">
        <v>289</v>
      </c>
      <c r="L457" s="24" t="s">
        <v>289</v>
      </c>
      <c r="M457" s="68"/>
      <c r="N457" s="224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68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/>
      <c r="G459" s="18">
        <v>0</v>
      </c>
      <c r="H459" s="18"/>
      <c r="I459" s="56">
        <f t="shared" si="34"/>
        <v>0</v>
      </c>
      <c r="J459" s="24" t="s">
        <v>289</v>
      </c>
      <c r="K459" s="24" t="s">
        <v>289</v>
      </c>
      <c r="L459" s="24" t="s">
        <v>289</v>
      </c>
      <c r="M459" s="52"/>
      <c r="N459" s="268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1">
        <v>18</v>
      </c>
      <c r="C460" s="51">
        <v>20</v>
      </c>
      <c r="D460" s="48" t="s">
        <v>433</v>
      </c>
      <c r="E460" s="51"/>
      <c r="F460" s="83">
        <f>SUM(F454:F459)</f>
        <v>0</v>
      </c>
      <c r="G460" s="83">
        <f>SUM(G454:G459)</f>
        <v>0</v>
      </c>
      <c r="H460" s="83">
        <f>SUM(H454:H459)</f>
        <v>0</v>
      </c>
      <c r="I460" s="83">
        <f>SUM(I454:I459)</f>
        <v>0</v>
      </c>
      <c r="J460" s="24" t="s">
        <v>289</v>
      </c>
      <c r="K460" s="24" t="s">
        <v>289</v>
      </c>
      <c r="L460" s="24" t="s">
        <v>289</v>
      </c>
      <c r="N460" s="268"/>
    </row>
    <row r="461" spans="1:23" s="52" customFormat="1" ht="12" customHeight="1" thickTop="1" x14ac:dyDescent="0.2">
      <c r="A461" s="91" t="s">
        <v>425</v>
      </c>
      <c r="B461" s="44">
        <v>18</v>
      </c>
      <c r="C461" s="82">
        <v>21</v>
      </c>
      <c r="D461" s="155" t="s">
        <v>433</v>
      </c>
      <c r="E461" s="82"/>
      <c r="F461" s="42">
        <f>F452+F460</f>
        <v>0</v>
      </c>
      <c r="G461" s="42">
        <f>G452+G460</f>
        <v>80000</v>
      </c>
      <c r="H461" s="42">
        <f>H452+H460</f>
        <v>0</v>
      </c>
      <c r="I461" s="42">
        <f>I452+I460</f>
        <v>80000</v>
      </c>
      <c r="J461" s="24" t="s">
        <v>289</v>
      </c>
      <c r="K461" s="24" t="s">
        <v>289</v>
      </c>
      <c r="L461" s="24" t="s">
        <v>289</v>
      </c>
      <c r="N461" s="268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68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68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68"/>
    </row>
    <row r="465" spans="1:14" s="52" customFormat="1" ht="12" customHeight="1" x14ac:dyDescent="0.2">
      <c r="A465" s="187" t="s">
        <v>891</v>
      </c>
      <c r="B465" s="105">
        <v>19</v>
      </c>
      <c r="C465" s="111">
        <v>1</v>
      </c>
      <c r="D465" s="2" t="s">
        <v>433</v>
      </c>
      <c r="E465" s="111"/>
      <c r="F465" s="18"/>
      <c r="G465" s="18"/>
      <c r="H465" s="18"/>
      <c r="I465" s="18"/>
      <c r="J465" s="18"/>
      <c r="K465" s="24" t="s">
        <v>289</v>
      </c>
      <c r="L465" s="24" t="s">
        <v>289</v>
      </c>
      <c r="N465" s="268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68"/>
    </row>
    <row r="467" spans="1:14" s="52" customFormat="1" ht="12" customHeight="1" x14ac:dyDescent="0.2">
      <c r="A467" s="94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68"/>
    </row>
    <row r="468" spans="1:14" s="52" customFormat="1" ht="12" customHeight="1" x14ac:dyDescent="0.2">
      <c r="A468" s="93" t="s">
        <v>614</v>
      </c>
      <c r="B468" s="75">
        <v>19</v>
      </c>
      <c r="C468" s="80">
        <v>2</v>
      </c>
      <c r="D468" s="2" t="s">
        <v>433</v>
      </c>
      <c r="E468" s="80"/>
      <c r="F468" s="18">
        <v>13031557.91</v>
      </c>
      <c r="G468" s="18">
        <v>361138.53</v>
      </c>
      <c r="H468" s="18">
        <f>539502.81+10912.89</f>
        <v>550415.70000000007</v>
      </c>
      <c r="I468" s="18"/>
      <c r="J468" s="18">
        <v>80000</v>
      </c>
      <c r="K468" s="24" t="s">
        <v>289</v>
      </c>
      <c r="L468" s="24" t="s">
        <v>289</v>
      </c>
      <c r="N468" s="268"/>
    </row>
    <row r="469" spans="1:14" s="52" customFormat="1" ht="12" customHeight="1" x14ac:dyDescent="0.2">
      <c r="A469" s="93" t="s">
        <v>615</v>
      </c>
      <c r="B469" s="75">
        <v>19</v>
      </c>
      <c r="C469" s="80">
        <v>3</v>
      </c>
      <c r="D469" s="2" t="s">
        <v>433</v>
      </c>
      <c r="E469" s="80"/>
      <c r="F469" s="18"/>
      <c r="G469" s="18"/>
      <c r="H469" s="18"/>
      <c r="I469" s="18"/>
      <c r="J469" s="18"/>
      <c r="K469" s="24" t="s">
        <v>289</v>
      </c>
      <c r="L469" s="24" t="s">
        <v>289</v>
      </c>
      <c r="N469" s="268"/>
    </row>
    <row r="470" spans="1:14" s="52" customFormat="1" ht="12" customHeight="1" x14ac:dyDescent="0.2">
      <c r="A470" s="92" t="s">
        <v>426</v>
      </c>
      <c r="B470" s="75">
        <v>19</v>
      </c>
      <c r="C470" s="80">
        <v>4</v>
      </c>
      <c r="D470" s="2" t="s">
        <v>433</v>
      </c>
      <c r="E470" s="80"/>
      <c r="F470" s="53">
        <f>SUM(F468:F469)</f>
        <v>13031557.91</v>
      </c>
      <c r="G470" s="53">
        <f>SUM(G468:G469)</f>
        <v>361138.53</v>
      </c>
      <c r="H470" s="53">
        <f>SUM(H468:H469)</f>
        <v>550415.70000000007</v>
      </c>
      <c r="I470" s="53">
        <f>SUM(I468:I469)</f>
        <v>0</v>
      </c>
      <c r="J470" s="53">
        <f>SUM(J468:J469)</f>
        <v>80000</v>
      </c>
      <c r="K470" s="24" t="s">
        <v>289</v>
      </c>
      <c r="L470" s="24" t="s">
        <v>289</v>
      </c>
      <c r="N470" s="268"/>
    </row>
    <row r="471" spans="1:14" s="52" customFormat="1" ht="12" customHeight="1" x14ac:dyDescent="0.2">
      <c r="A471" s="94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68"/>
    </row>
    <row r="472" spans="1:14" s="52" customFormat="1" ht="12" customHeight="1" x14ac:dyDescent="0.2">
      <c r="A472" s="93" t="s">
        <v>616</v>
      </c>
      <c r="B472" s="75">
        <v>19</v>
      </c>
      <c r="C472" s="80">
        <v>5</v>
      </c>
      <c r="D472" s="2" t="s">
        <v>433</v>
      </c>
      <c r="E472" s="80"/>
      <c r="F472" s="18">
        <f>12761659.88+15637.62+453.42-7763</f>
        <v>12769987.92</v>
      </c>
      <c r="G472" s="18">
        <v>342781.87</v>
      </c>
      <c r="H472" s="18">
        <f>550415.7-2724.75-3125.05</f>
        <v>544565.89999999991</v>
      </c>
      <c r="I472" s="18"/>
      <c r="J472" s="18">
        <v>80000</v>
      </c>
      <c r="K472" s="24" t="s">
        <v>289</v>
      </c>
      <c r="L472" s="24" t="s">
        <v>289</v>
      </c>
      <c r="N472" s="268"/>
    </row>
    <row r="473" spans="1:14" s="52" customFormat="1" ht="12" customHeight="1" x14ac:dyDescent="0.2">
      <c r="A473" s="93" t="s">
        <v>617</v>
      </c>
      <c r="B473" s="75">
        <v>19</v>
      </c>
      <c r="C473" s="80">
        <v>6</v>
      </c>
      <c r="D473" s="2" t="s">
        <v>433</v>
      </c>
      <c r="E473" s="80"/>
      <c r="F473" s="18"/>
      <c r="G473" s="18"/>
      <c r="H473" s="18"/>
      <c r="I473" s="18"/>
      <c r="J473" s="18"/>
      <c r="K473" s="24" t="s">
        <v>289</v>
      </c>
      <c r="L473" s="24" t="s">
        <v>289</v>
      </c>
      <c r="N473" s="268"/>
    </row>
    <row r="474" spans="1:14" s="52" customFormat="1" ht="12" customHeight="1" x14ac:dyDescent="0.2">
      <c r="A474" s="92" t="s">
        <v>427</v>
      </c>
      <c r="B474" s="75">
        <v>19</v>
      </c>
      <c r="C474" s="80">
        <v>7</v>
      </c>
      <c r="D474" s="2" t="s">
        <v>433</v>
      </c>
      <c r="E474" s="80"/>
      <c r="F474" s="53">
        <f>SUM(F472:F473)</f>
        <v>12769987.92</v>
      </c>
      <c r="G474" s="53">
        <f>SUM(G472:G473)</f>
        <v>342781.87</v>
      </c>
      <c r="H474" s="53">
        <f>SUM(H472:H473)</f>
        <v>544565.89999999991</v>
      </c>
      <c r="I474" s="53">
        <f>SUM(I472:I473)</f>
        <v>0</v>
      </c>
      <c r="J474" s="53">
        <f>SUM(J472:J473)</f>
        <v>80000</v>
      </c>
      <c r="K474" s="24" t="s">
        <v>289</v>
      </c>
      <c r="L474" s="24" t="s">
        <v>289</v>
      </c>
      <c r="N474" s="268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68"/>
    </row>
    <row r="476" spans="1:14" s="52" customFormat="1" ht="12" customHeight="1" x14ac:dyDescent="0.2">
      <c r="A476" s="188" t="s">
        <v>892</v>
      </c>
      <c r="B476" s="75">
        <v>19</v>
      </c>
      <c r="C476" s="115">
        <v>8</v>
      </c>
      <c r="D476" s="2" t="s">
        <v>433</v>
      </c>
      <c r="E476" s="115"/>
      <c r="F476" s="53">
        <f>(F465+F470)- F474</f>
        <v>261569.99000000022</v>
      </c>
      <c r="G476" s="53">
        <f>(G465+G470)- G474</f>
        <v>18356.660000000033</v>
      </c>
      <c r="H476" s="53">
        <f>(H465+H470)- H474</f>
        <v>5849.800000000163</v>
      </c>
      <c r="I476" s="53">
        <f>(I465+I470)- I474</f>
        <v>0</v>
      </c>
      <c r="J476" s="53">
        <f>(J465+J470)- J474</f>
        <v>0</v>
      </c>
      <c r="K476" s="24" t="s">
        <v>289</v>
      </c>
      <c r="L476" s="24" t="s">
        <v>289</v>
      </c>
      <c r="N476" s="268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68"/>
    </row>
    <row r="478" spans="1:14" s="52" customFormat="1" ht="12" customHeight="1" x14ac:dyDescent="0.2">
      <c r="A478" s="95" t="s">
        <v>661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68"/>
    </row>
    <row r="479" spans="1:14" s="52" customFormat="1" ht="12" customHeight="1" x14ac:dyDescent="0.2">
      <c r="A479" s="95" t="s">
        <v>699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68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402</v>
      </c>
      <c r="J480" s="112"/>
      <c r="K480" s="95"/>
      <c r="L480" s="95"/>
      <c r="N480" s="268"/>
    </row>
    <row r="481" spans="1:14" s="52" customFormat="1" ht="12" customHeight="1" x14ac:dyDescent="0.2">
      <c r="A481" s="173"/>
      <c r="B481" s="112"/>
      <c r="C481" s="112"/>
      <c r="D481" s="112"/>
      <c r="E481" s="112"/>
      <c r="F481" s="112"/>
      <c r="G481" s="112"/>
      <c r="H481" s="112"/>
      <c r="I481" s="112" t="s">
        <v>654</v>
      </c>
      <c r="J481" s="112"/>
      <c r="K481" s="95"/>
      <c r="L481" s="95"/>
      <c r="N481" s="268"/>
    </row>
    <row r="482" spans="1:14" s="52" customFormat="1" ht="12" customHeight="1" x14ac:dyDescent="0.2">
      <c r="A482" s="95" t="s">
        <v>700</v>
      </c>
      <c r="B482" s="112"/>
      <c r="C482" s="112"/>
      <c r="D482" s="112"/>
      <c r="E482" s="112"/>
      <c r="F482" s="112"/>
      <c r="G482" s="112"/>
      <c r="H482" s="112"/>
      <c r="I482" s="112" t="s">
        <v>474</v>
      </c>
      <c r="J482" s="112"/>
      <c r="K482" s="95"/>
      <c r="L482" s="95"/>
      <c r="N482" s="268"/>
    </row>
    <row r="483" spans="1:14" s="52" customFormat="1" ht="12" customHeight="1" x14ac:dyDescent="0.2">
      <c r="A483" s="172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68"/>
    </row>
    <row r="484" spans="1:14" s="52" customFormat="1" ht="12" customHeight="1" x14ac:dyDescent="0.2">
      <c r="A484" s="172"/>
      <c r="B484" s="112"/>
      <c r="C484" s="112"/>
      <c r="D484" s="112"/>
      <c r="E484" s="112"/>
      <c r="F484" s="112"/>
      <c r="G484" s="112"/>
      <c r="H484" s="112"/>
      <c r="I484" s="112" t="s">
        <v>475</v>
      </c>
      <c r="J484" s="112"/>
      <c r="K484" s="95"/>
      <c r="L484" s="95"/>
      <c r="N484" s="268"/>
    </row>
    <row r="485" spans="1:14" s="52" customFormat="1" ht="12" customHeight="1" x14ac:dyDescent="0.2">
      <c r="A485" s="172"/>
      <c r="B485" s="112"/>
      <c r="C485" s="112"/>
      <c r="D485" s="112"/>
      <c r="E485" s="112"/>
      <c r="F485" s="112"/>
      <c r="G485" s="112"/>
      <c r="H485" s="112"/>
      <c r="I485" s="112" t="s">
        <v>476</v>
      </c>
      <c r="J485" s="112"/>
      <c r="K485" s="95"/>
      <c r="L485" s="95"/>
      <c r="N485" s="268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68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68"/>
    </row>
    <row r="488" spans="1:14" s="52" customFormat="1" ht="12" customHeight="1" x14ac:dyDescent="0.2">
      <c r="A488" s="147" t="s">
        <v>893</v>
      </c>
      <c r="B488" s="105"/>
      <c r="C488" s="115"/>
      <c r="D488" s="115"/>
      <c r="E488" s="115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6"/>
      <c r="N488" s="268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341</v>
      </c>
      <c r="L489" s="116"/>
      <c r="N489" s="268"/>
    </row>
    <row r="490" spans="1:14" s="52" customFormat="1" ht="12" customHeight="1" x14ac:dyDescent="0.2">
      <c r="A490" s="22" t="s">
        <v>618</v>
      </c>
      <c r="B490" s="75">
        <v>20</v>
      </c>
      <c r="C490" s="115">
        <v>1</v>
      </c>
      <c r="D490" s="2" t="s">
        <v>433</v>
      </c>
      <c r="E490" s="115"/>
      <c r="F490" s="272">
        <v>15</v>
      </c>
      <c r="G490" s="272">
        <v>15</v>
      </c>
      <c r="H490" s="272">
        <v>10</v>
      </c>
      <c r="I490" s="272">
        <v>14</v>
      </c>
      <c r="J490" s="272">
        <v>5</v>
      </c>
      <c r="K490" s="24" t="s">
        <v>289</v>
      </c>
      <c r="L490" s="24" t="s">
        <v>289</v>
      </c>
      <c r="N490" s="268"/>
    </row>
    <row r="491" spans="1:14" s="52" customFormat="1" ht="12" customHeight="1" x14ac:dyDescent="0.2">
      <c r="A491" s="22" t="s">
        <v>619</v>
      </c>
      <c r="B491" s="75">
        <v>20</v>
      </c>
      <c r="C491" s="115">
        <v>2</v>
      </c>
      <c r="D491" s="2" t="s">
        <v>433</v>
      </c>
      <c r="E491" s="115"/>
      <c r="F491" s="273" t="s">
        <v>912</v>
      </c>
      <c r="G491" s="273" t="s">
        <v>913</v>
      </c>
      <c r="H491" s="273" t="s">
        <v>914</v>
      </c>
      <c r="I491" s="273" t="s">
        <v>915</v>
      </c>
      <c r="J491" s="273" t="s">
        <v>916</v>
      </c>
      <c r="K491" s="24" t="s">
        <v>289</v>
      </c>
      <c r="L491" s="24" t="s">
        <v>289</v>
      </c>
      <c r="N491" s="268"/>
    </row>
    <row r="492" spans="1:14" s="52" customFormat="1" ht="12" customHeight="1" x14ac:dyDescent="0.2">
      <c r="A492" s="22" t="s">
        <v>620</v>
      </c>
      <c r="B492" s="75">
        <v>20</v>
      </c>
      <c r="C492" s="115">
        <v>3</v>
      </c>
      <c r="D492" s="2" t="s">
        <v>433</v>
      </c>
      <c r="E492" s="115"/>
      <c r="F492" s="273" t="s">
        <v>917</v>
      </c>
      <c r="G492" s="273" t="s">
        <v>918</v>
      </c>
      <c r="H492" s="273" t="s">
        <v>919</v>
      </c>
      <c r="I492" s="273" t="s">
        <v>920</v>
      </c>
      <c r="J492" s="273" t="s">
        <v>921</v>
      </c>
      <c r="K492" s="24" t="s">
        <v>289</v>
      </c>
      <c r="L492" s="24" t="s">
        <v>289</v>
      </c>
      <c r="N492" s="268"/>
    </row>
    <row r="493" spans="1:14" s="52" customFormat="1" ht="12" customHeight="1" x14ac:dyDescent="0.2">
      <c r="A493" s="22" t="s">
        <v>621</v>
      </c>
      <c r="B493" s="75">
        <v>20</v>
      </c>
      <c r="C493" s="115">
        <v>4</v>
      </c>
      <c r="D493" s="2" t="s">
        <v>433</v>
      </c>
      <c r="E493" s="115"/>
      <c r="F493" s="271">
        <v>500000</v>
      </c>
      <c r="G493" s="271">
        <v>1694000</v>
      </c>
      <c r="H493" s="271">
        <v>605000</v>
      </c>
      <c r="I493" s="271">
        <v>1498000</v>
      </c>
      <c r="J493" s="271">
        <v>735435.15</v>
      </c>
      <c r="K493" s="24" t="s">
        <v>289</v>
      </c>
      <c r="L493" s="24" t="s">
        <v>289</v>
      </c>
      <c r="N493" s="268"/>
    </row>
    <row r="494" spans="1:14" s="52" customFormat="1" ht="12" customHeight="1" x14ac:dyDescent="0.2">
      <c r="A494" s="22" t="s">
        <v>622</v>
      </c>
      <c r="B494" s="75">
        <v>20</v>
      </c>
      <c r="C494" s="115">
        <v>5</v>
      </c>
      <c r="D494" s="2" t="s">
        <v>433</v>
      </c>
      <c r="E494" s="115"/>
      <c r="F494" s="271">
        <v>0</v>
      </c>
      <c r="G494" s="271">
        <v>0</v>
      </c>
      <c r="H494" s="271">
        <v>4.5</v>
      </c>
      <c r="I494" s="271">
        <v>0</v>
      </c>
      <c r="J494" s="271">
        <v>2.25</v>
      </c>
      <c r="K494" s="24" t="s">
        <v>289</v>
      </c>
      <c r="L494" s="24" t="s">
        <v>289</v>
      </c>
      <c r="N494" s="268"/>
    </row>
    <row r="495" spans="1:14" s="52" customFormat="1" ht="12" customHeight="1" x14ac:dyDescent="0.2">
      <c r="A495" s="22" t="s">
        <v>623</v>
      </c>
      <c r="B495" s="75">
        <v>20</v>
      </c>
      <c r="C495" s="115">
        <v>6</v>
      </c>
      <c r="D495" s="2" t="s">
        <v>433</v>
      </c>
      <c r="E495" s="115"/>
      <c r="F495" s="271">
        <v>200000</v>
      </c>
      <c r="G495" s="271">
        <v>946400.00000000012</v>
      </c>
      <c r="H495" s="271">
        <v>363000</v>
      </c>
      <c r="I495" s="271">
        <v>1070000</v>
      </c>
      <c r="J495" s="271">
        <v>58778.119999999995</v>
      </c>
      <c r="K495" s="53">
        <f>SUM(F495:J495)</f>
        <v>2638178.12</v>
      </c>
      <c r="L495" s="24" t="s">
        <v>289</v>
      </c>
      <c r="N495" s="268"/>
    </row>
    <row r="496" spans="1:14" s="52" customFormat="1" ht="12" customHeight="1" x14ac:dyDescent="0.2">
      <c r="A496" s="22" t="s">
        <v>624</v>
      </c>
      <c r="B496" s="75">
        <v>20</v>
      </c>
      <c r="C496" s="115">
        <v>7</v>
      </c>
      <c r="D496" s="2" t="s">
        <v>433</v>
      </c>
      <c r="E496" s="115"/>
      <c r="F496" s="271">
        <v>0</v>
      </c>
      <c r="G496" s="271">
        <v>0</v>
      </c>
      <c r="H496" s="271">
        <v>0</v>
      </c>
      <c r="I496" s="271">
        <v>0</v>
      </c>
      <c r="J496" s="271">
        <v>0</v>
      </c>
      <c r="K496" s="53">
        <f t="shared" ref="K496:K503" si="35">SUM(F496:J496)</f>
        <v>0</v>
      </c>
      <c r="L496" s="24" t="s">
        <v>289</v>
      </c>
      <c r="N496" s="268"/>
    </row>
    <row r="497" spans="1:14" s="52" customFormat="1" ht="12" customHeight="1" x14ac:dyDescent="0.2">
      <c r="A497" s="22" t="s">
        <v>625</v>
      </c>
      <c r="B497" s="75">
        <v>20</v>
      </c>
      <c r="C497" s="115">
        <v>8</v>
      </c>
      <c r="D497" s="2" t="s">
        <v>433</v>
      </c>
      <c r="E497" s="115"/>
      <c r="F497" s="271">
        <v>33333.33</v>
      </c>
      <c r="G497" s="271">
        <v>112933.33</v>
      </c>
      <c r="H497" s="271">
        <v>60500</v>
      </c>
      <c r="I497" s="271">
        <v>107000</v>
      </c>
      <c r="J497" s="271">
        <v>14757.03</v>
      </c>
      <c r="K497" s="53">
        <f t="shared" si="35"/>
        <v>328523.69000000006</v>
      </c>
      <c r="L497" s="24" t="s">
        <v>289</v>
      </c>
      <c r="N497" s="268"/>
    </row>
    <row r="498" spans="1:14" s="52" customFormat="1" ht="12" customHeight="1" x14ac:dyDescent="0.2">
      <c r="A498" s="198" t="s">
        <v>626</v>
      </c>
      <c r="B498" s="199">
        <v>20</v>
      </c>
      <c r="C498" s="200">
        <v>9</v>
      </c>
      <c r="D498" s="201" t="s">
        <v>433</v>
      </c>
      <c r="E498" s="200"/>
      <c r="F498" s="275">
        <v>166666.66999999998</v>
      </c>
      <c r="G498" s="275">
        <v>833466.67000000016</v>
      </c>
      <c r="H498" s="275">
        <v>302500</v>
      </c>
      <c r="I498" s="275">
        <v>963000</v>
      </c>
      <c r="J498" s="275">
        <v>44021.09</v>
      </c>
      <c r="K498" s="202">
        <f t="shared" si="35"/>
        <v>2309654.4299999997</v>
      </c>
      <c r="L498" s="203" t="s">
        <v>289</v>
      </c>
      <c r="N498" s="268"/>
    </row>
    <row r="499" spans="1:14" s="52" customFormat="1" ht="12" customHeight="1" thickBot="1" x14ac:dyDescent="0.25">
      <c r="A499" s="22" t="s">
        <v>627</v>
      </c>
      <c r="B499" s="75">
        <v>20</v>
      </c>
      <c r="C499" s="115">
        <v>10</v>
      </c>
      <c r="D499" s="2" t="s">
        <v>433</v>
      </c>
      <c r="E499" s="115"/>
      <c r="F499" s="274"/>
      <c r="G499" s="274"/>
      <c r="H499" s="274">
        <v>40867.339999999997</v>
      </c>
      <c r="I499" s="274"/>
      <c r="J499" s="274">
        <v>3321.24</v>
      </c>
      <c r="K499" s="53">
        <f t="shared" si="35"/>
        <v>44188.579999999994</v>
      </c>
      <c r="L499" s="24" t="s">
        <v>289</v>
      </c>
      <c r="N499" s="268"/>
    </row>
    <row r="500" spans="1:14" s="52" customFormat="1" ht="12" customHeight="1" thickTop="1" x14ac:dyDescent="0.2">
      <c r="A500" s="139" t="s">
        <v>628</v>
      </c>
      <c r="B500" s="44">
        <v>20</v>
      </c>
      <c r="C500" s="193">
        <v>11</v>
      </c>
      <c r="D500" s="39" t="s">
        <v>433</v>
      </c>
      <c r="E500" s="193"/>
      <c r="F500" s="42">
        <f>SUM(F498:F499)</f>
        <v>166666.66999999998</v>
      </c>
      <c r="G500" s="42">
        <f>SUM(G498:G499)</f>
        <v>833466.67000000016</v>
      </c>
      <c r="H500" s="42">
        <f>SUM(H498:H499)</f>
        <v>343367.33999999997</v>
      </c>
      <c r="I500" s="42">
        <f>SUM(I498:I499)</f>
        <v>963000</v>
      </c>
      <c r="J500" s="42">
        <f>SUM(J498:J499)</f>
        <v>47342.329999999994</v>
      </c>
      <c r="K500" s="42">
        <f t="shared" si="35"/>
        <v>2353843.0100000002</v>
      </c>
      <c r="L500" s="45" t="s">
        <v>289</v>
      </c>
      <c r="N500" s="268"/>
    </row>
    <row r="501" spans="1:14" s="52" customFormat="1" ht="12" customHeight="1" x14ac:dyDescent="0.2">
      <c r="A501" s="198" t="s">
        <v>655</v>
      </c>
      <c r="B501" s="199">
        <v>20</v>
      </c>
      <c r="C501" s="200">
        <v>12</v>
      </c>
      <c r="D501" s="201" t="s">
        <v>433</v>
      </c>
      <c r="E501" s="200"/>
      <c r="F501" s="277">
        <v>33333.33</v>
      </c>
      <c r="G501" s="277">
        <v>112933.33</v>
      </c>
      <c r="H501" s="277">
        <v>60500</v>
      </c>
      <c r="I501" s="277">
        <v>107000</v>
      </c>
      <c r="J501" s="277">
        <v>14757.03</v>
      </c>
      <c r="K501" s="202">
        <f t="shared" si="35"/>
        <v>328523.69000000006</v>
      </c>
      <c r="L501" s="203" t="s">
        <v>289</v>
      </c>
      <c r="N501" s="268"/>
    </row>
    <row r="502" spans="1:14" s="52" customFormat="1" ht="12" customHeight="1" thickBot="1" x14ac:dyDescent="0.25">
      <c r="A502" s="22" t="s">
        <v>629</v>
      </c>
      <c r="B502" s="75">
        <v>20</v>
      </c>
      <c r="C502" s="115">
        <v>13</v>
      </c>
      <c r="D502" s="2" t="s">
        <v>433</v>
      </c>
      <c r="E502" s="115"/>
      <c r="F502" s="276"/>
      <c r="G502" s="276"/>
      <c r="H502" s="276">
        <v>16335</v>
      </c>
      <c r="I502" s="276"/>
      <c r="J502" s="276">
        <v>1328.13</v>
      </c>
      <c r="K502" s="53">
        <f t="shared" si="35"/>
        <v>17663.13</v>
      </c>
      <c r="L502" s="24" t="s">
        <v>289</v>
      </c>
      <c r="N502" s="268"/>
    </row>
    <row r="503" spans="1:14" s="52" customFormat="1" ht="12" customHeight="1" thickTop="1" x14ac:dyDescent="0.2">
      <c r="A503" s="139" t="s">
        <v>630</v>
      </c>
      <c r="B503" s="44">
        <v>20</v>
      </c>
      <c r="C503" s="193">
        <v>14</v>
      </c>
      <c r="D503" s="39" t="s">
        <v>433</v>
      </c>
      <c r="E503" s="193"/>
      <c r="F503" s="42">
        <f>SUM(F501:F502)</f>
        <v>33333.33</v>
      </c>
      <c r="G503" s="42">
        <f>SUM(G501:G502)</f>
        <v>112933.33</v>
      </c>
      <c r="H503" s="42">
        <f>SUM(H501:H502)</f>
        <v>76835</v>
      </c>
      <c r="I503" s="42">
        <f>SUM(I501:I502)</f>
        <v>107000</v>
      </c>
      <c r="J503" s="42">
        <f>SUM(J501:J502)</f>
        <v>16085.16</v>
      </c>
      <c r="K503" s="42">
        <f t="shared" si="35"/>
        <v>346186.82</v>
      </c>
      <c r="L503" s="45" t="s">
        <v>289</v>
      </c>
      <c r="N503" s="268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68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68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289</v>
      </c>
      <c r="K506" s="24" t="s">
        <v>289</v>
      </c>
      <c r="L506" s="24" t="s">
        <v>289</v>
      </c>
      <c r="N506" s="268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433</v>
      </c>
      <c r="E507" s="115"/>
      <c r="F507" s="144"/>
      <c r="G507" s="144"/>
      <c r="H507" s="144"/>
      <c r="I507" s="144"/>
      <c r="J507" s="24" t="s">
        <v>289</v>
      </c>
      <c r="K507" s="24" t="s">
        <v>289</v>
      </c>
      <c r="L507" s="24" t="s">
        <v>289</v>
      </c>
      <c r="N507" s="268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68"/>
    </row>
    <row r="509" spans="1:14" s="52" customFormat="1" ht="12" customHeight="1" x14ac:dyDescent="0.2">
      <c r="A509" s="147" t="s">
        <v>894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68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68"/>
    </row>
    <row r="511" spans="1:14" s="52" customFormat="1" ht="12" customHeight="1" x14ac:dyDescent="0.2">
      <c r="A511" s="22" t="s">
        <v>631</v>
      </c>
      <c r="B511" s="75">
        <v>20</v>
      </c>
      <c r="C511" s="115">
        <v>16</v>
      </c>
      <c r="D511" s="2" t="s">
        <v>433</v>
      </c>
      <c r="E511" s="115">
        <v>210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68"/>
    </row>
    <row r="512" spans="1:14" s="52" customFormat="1" ht="12" customHeight="1" x14ac:dyDescent="0.2">
      <c r="A512" s="22" t="s">
        <v>632</v>
      </c>
      <c r="B512" s="75">
        <v>20</v>
      </c>
      <c r="C512" s="115">
        <v>17</v>
      </c>
      <c r="D512" s="2" t="s">
        <v>433</v>
      </c>
      <c r="E512" s="115">
        <v>220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68"/>
    </row>
    <row r="513" spans="1:14" s="52" customFormat="1" ht="12" customHeight="1" x14ac:dyDescent="0.2">
      <c r="A513" s="22" t="s">
        <v>633</v>
      </c>
      <c r="B513" s="75">
        <v>20</v>
      </c>
      <c r="C513" s="115">
        <v>18</v>
      </c>
      <c r="D513" s="2" t="s">
        <v>433</v>
      </c>
      <c r="E513" s="115">
        <v>230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68"/>
    </row>
    <row r="514" spans="1:14" s="52" customFormat="1" ht="12" customHeight="1" x14ac:dyDescent="0.2">
      <c r="A514" s="22" t="s">
        <v>634</v>
      </c>
      <c r="B514" s="75">
        <v>20</v>
      </c>
      <c r="C514" s="115">
        <v>19</v>
      </c>
      <c r="D514" s="2" t="s">
        <v>433</v>
      </c>
      <c r="E514" s="115">
        <v>240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68"/>
    </row>
    <row r="515" spans="1:14" s="52" customFormat="1" ht="12" customHeight="1" x14ac:dyDescent="0.2">
      <c r="A515" s="22" t="s">
        <v>635</v>
      </c>
      <c r="B515" s="75">
        <v>20</v>
      </c>
      <c r="C515" s="115">
        <v>20</v>
      </c>
      <c r="D515" s="2" t="s">
        <v>433</v>
      </c>
      <c r="E515" s="115">
        <v>250</v>
      </c>
      <c r="F515" s="18"/>
      <c r="G515" s="24" t="s">
        <v>289</v>
      </c>
      <c r="H515" s="18"/>
      <c r="I515" s="24" t="s">
        <v>289</v>
      </c>
      <c r="J515" s="24" t="s">
        <v>289</v>
      </c>
      <c r="K515" s="24" t="s">
        <v>289</v>
      </c>
      <c r="L515" s="24" t="s">
        <v>289</v>
      </c>
      <c r="N515" s="268"/>
    </row>
    <row r="516" spans="1:14" s="52" customFormat="1" ht="12" customHeight="1" thickBot="1" x14ac:dyDescent="0.25">
      <c r="A516" s="22" t="s">
        <v>636</v>
      </c>
      <c r="B516" s="75">
        <v>20</v>
      </c>
      <c r="C516" s="115">
        <v>21</v>
      </c>
      <c r="D516" s="2" t="s">
        <v>433</v>
      </c>
      <c r="E516" s="115">
        <v>710</v>
      </c>
      <c r="F516" s="24" t="s">
        <v>289</v>
      </c>
      <c r="G516" s="18"/>
      <c r="H516" s="24" t="s">
        <v>289</v>
      </c>
      <c r="I516" s="18"/>
      <c r="J516" s="24" t="s">
        <v>289</v>
      </c>
      <c r="K516" s="24" t="s">
        <v>289</v>
      </c>
      <c r="L516" s="24" t="s">
        <v>289</v>
      </c>
      <c r="N516" s="268"/>
    </row>
    <row r="517" spans="1:14" s="52" customFormat="1" ht="12" customHeight="1" thickTop="1" x14ac:dyDescent="0.2">
      <c r="A517" s="96" t="s">
        <v>428</v>
      </c>
      <c r="B517" s="75">
        <v>20</v>
      </c>
      <c r="C517" s="115">
        <v>22</v>
      </c>
      <c r="D517" s="2" t="s">
        <v>433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289</v>
      </c>
      <c r="K517" s="24" t="s">
        <v>289</v>
      </c>
      <c r="L517" s="24" t="s">
        <v>289</v>
      </c>
      <c r="N517" s="268"/>
    </row>
    <row r="518" spans="1:14" s="52" customFormat="1" ht="12" customHeight="1" x14ac:dyDescent="0.2">
      <c r="A518" s="96" t="s">
        <v>702</v>
      </c>
      <c r="B518" s="105"/>
      <c r="C518" s="115"/>
      <c r="D518" s="115"/>
      <c r="E518" s="115"/>
      <c r="F518" s="175" t="s">
        <v>693</v>
      </c>
      <c r="G518" s="175" t="s">
        <v>694</v>
      </c>
      <c r="H518" s="175" t="s">
        <v>695</v>
      </c>
      <c r="I518" s="175" t="s">
        <v>696</v>
      </c>
      <c r="J518" s="175" t="s">
        <v>697</v>
      </c>
      <c r="K518" s="175" t="s">
        <v>698</v>
      </c>
      <c r="L518" s="106"/>
      <c r="N518" s="268"/>
    </row>
    <row r="519" spans="1:14" s="52" customFormat="1" ht="12" customHeight="1" x14ac:dyDescent="0.2">
      <c r="A519" s="176" t="s">
        <v>701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68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68"/>
    </row>
    <row r="521" spans="1:14" s="52" customFormat="1" ht="12" customHeight="1" x14ac:dyDescent="0.2">
      <c r="A521" s="22" t="s">
        <v>637</v>
      </c>
      <c r="B521" s="105">
        <v>21</v>
      </c>
      <c r="C521" s="115">
        <v>1</v>
      </c>
      <c r="D521" s="2" t="s">
        <v>433</v>
      </c>
      <c r="E521" s="115"/>
      <c r="F521" s="18">
        <v>259845.63</v>
      </c>
      <c r="G521" s="18">
        <v>116965.1</v>
      </c>
      <c r="H521" s="18">
        <f>52760.83+89295.7</f>
        <v>142056.53</v>
      </c>
      <c r="I521" s="18">
        <v>2211.16</v>
      </c>
      <c r="J521" s="18">
        <v>3021.66</v>
      </c>
      <c r="K521" s="18"/>
      <c r="L521" s="88">
        <f>SUM(F521:K521)</f>
        <v>524100.07999999996</v>
      </c>
      <c r="N521" s="268"/>
    </row>
    <row r="522" spans="1:14" s="52" customFormat="1" ht="12" customHeight="1" x14ac:dyDescent="0.2">
      <c r="A522" s="22" t="s">
        <v>638</v>
      </c>
      <c r="B522" s="105">
        <v>21</v>
      </c>
      <c r="C522" s="115">
        <v>2</v>
      </c>
      <c r="D522" s="2" t="s">
        <v>433</v>
      </c>
      <c r="E522" s="115"/>
      <c r="F522" s="18">
        <v>403340.77</v>
      </c>
      <c r="G522" s="18">
        <v>189980.55</v>
      </c>
      <c r="H522" s="18">
        <f>84286.5+348955.73</f>
        <v>433242.23</v>
      </c>
      <c r="I522" s="18">
        <v>5407.56</v>
      </c>
      <c r="J522" s="18">
        <v>563.76</v>
      </c>
      <c r="K522" s="18"/>
      <c r="L522" s="88">
        <f>SUM(F522:K522)</f>
        <v>1032534.8700000001</v>
      </c>
      <c r="N522" s="268"/>
    </row>
    <row r="523" spans="1:14" s="52" customFormat="1" ht="12" customHeight="1" thickBot="1" x14ac:dyDescent="0.25">
      <c r="A523" s="22" t="s">
        <v>639</v>
      </c>
      <c r="B523" s="105">
        <v>21</v>
      </c>
      <c r="C523" s="115">
        <v>3</v>
      </c>
      <c r="D523" s="2" t="s">
        <v>433</v>
      </c>
      <c r="E523" s="115"/>
      <c r="F523" s="18">
        <v>379394.1</v>
      </c>
      <c r="G523" s="18">
        <v>220560.46</v>
      </c>
      <c r="H523" s="18">
        <f>104251.76+282930.3</f>
        <v>387182.06</v>
      </c>
      <c r="I523" s="18">
        <v>1932.22</v>
      </c>
      <c r="J523" s="18">
        <v>4239.6000000000004</v>
      </c>
      <c r="K523" s="18"/>
      <c r="L523" s="88">
        <f>SUM(F523:K523)</f>
        <v>993308.43999999983</v>
      </c>
      <c r="N523" s="268"/>
    </row>
    <row r="524" spans="1:14" s="52" customFormat="1" ht="12" customHeight="1" thickTop="1" x14ac:dyDescent="0.2">
      <c r="A524" s="139" t="s">
        <v>63</v>
      </c>
      <c r="B524" s="107">
        <v>21</v>
      </c>
      <c r="C524" s="193">
        <v>4</v>
      </c>
      <c r="D524" s="194" t="s">
        <v>433</v>
      </c>
      <c r="E524" s="193"/>
      <c r="F524" s="108">
        <f>SUM(F521:F523)</f>
        <v>1042580.5</v>
      </c>
      <c r="G524" s="108">
        <f t="shared" ref="G524:L524" si="36">SUM(G521:G523)</f>
        <v>527506.11</v>
      </c>
      <c r="H524" s="108">
        <f t="shared" si="36"/>
        <v>962480.82000000007</v>
      </c>
      <c r="I524" s="108">
        <f t="shared" si="36"/>
        <v>9550.94</v>
      </c>
      <c r="J524" s="108">
        <f t="shared" si="36"/>
        <v>7825.02</v>
      </c>
      <c r="K524" s="108">
        <f t="shared" si="36"/>
        <v>0</v>
      </c>
      <c r="L524" s="89">
        <f t="shared" si="36"/>
        <v>2549943.39</v>
      </c>
      <c r="N524" s="268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68"/>
    </row>
    <row r="526" spans="1:14" s="3" customFormat="1" ht="12" customHeight="1" x14ac:dyDescent="0.15">
      <c r="A526" s="22" t="s">
        <v>637</v>
      </c>
      <c r="B526" s="105">
        <v>21</v>
      </c>
      <c r="C526" s="115">
        <v>5</v>
      </c>
      <c r="D526" s="2" t="s">
        <v>433</v>
      </c>
      <c r="E526" s="115"/>
      <c r="F526" s="18"/>
      <c r="G526" s="18"/>
      <c r="H526" s="18">
        <v>147654.57</v>
      </c>
      <c r="I526" s="18"/>
      <c r="J526" s="18"/>
      <c r="K526" s="18"/>
      <c r="L526" s="88">
        <f>SUM(F526:K526)</f>
        <v>147654.57</v>
      </c>
      <c r="M526" s="8"/>
      <c r="N526" s="269"/>
    </row>
    <row r="527" spans="1:14" s="3" customFormat="1" ht="12" customHeight="1" x14ac:dyDescent="0.15">
      <c r="A527" s="22" t="s">
        <v>638</v>
      </c>
      <c r="B527" s="105">
        <v>21</v>
      </c>
      <c r="C527" s="115">
        <v>6</v>
      </c>
      <c r="D527" s="2" t="s">
        <v>433</v>
      </c>
      <c r="E527" s="115"/>
      <c r="F527" s="18"/>
      <c r="G527" s="18"/>
      <c r="H527" s="18">
        <v>122921.53</v>
      </c>
      <c r="I527" s="18"/>
      <c r="J527" s="18">
        <v>314.57</v>
      </c>
      <c r="K527" s="18"/>
      <c r="L527" s="88">
        <f>SUM(F527:K527)</f>
        <v>123236.1</v>
      </c>
      <c r="M527" s="8"/>
      <c r="N527" s="269"/>
    </row>
    <row r="528" spans="1:14" s="3" customFormat="1" ht="12" customHeight="1" thickBot="1" x14ac:dyDescent="0.2">
      <c r="A528" s="22" t="s">
        <v>639</v>
      </c>
      <c r="B528" s="118">
        <v>21</v>
      </c>
      <c r="C528" s="118">
        <v>7</v>
      </c>
      <c r="D528" s="2" t="s">
        <v>433</v>
      </c>
      <c r="E528" s="118"/>
      <c r="F528" s="18"/>
      <c r="G528" s="18"/>
      <c r="H528" s="18">
        <v>67487.600000000006</v>
      </c>
      <c r="I528" s="18"/>
      <c r="J528" s="18"/>
      <c r="K528" s="18"/>
      <c r="L528" s="88">
        <f>SUM(F528:K528)</f>
        <v>67487.600000000006</v>
      </c>
      <c r="M528" s="8"/>
      <c r="N528" s="269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6" t="s">
        <v>433</v>
      </c>
      <c r="E529" s="107"/>
      <c r="F529" s="89">
        <f>SUM(F526:F528)</f>
        <v>0</v>
      </c>
      <c r="G529" s="89">
        <f t="shared" ref="G529:L529" si="37">SUM(G526:G528)</f>
        <v>0</v>
      </c>
      <c r="H529" s="89">
        <f t="shared" si="37"/>
        <v>338063.69999999995</v>
      </c>
      <c r="I529" s="89">
        <f t="shared" si="37"/>
        <v>0</v>
      </c>
      <c r="J529" s="89">
        <f t="shared" si="37"/>
        <v>314.57</v>
      </c>
      <c r="K529" s="89">
        <f t="shared" si="37"/>
        <v>0</v>
      </c>
      <c r="L529" s="89">
        <f t="shared" si="37"/>
        <v>338378.27</v>
      </c>
      <c r="M529" s="8"/>
      <c r="N529" s="269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69"/>
    </row>
    <row r="531" spans="1:14" s="3" customFormat="1" ht="12" customHeight="1" x14ac:dyDescent="0.15">
      <c r="A531" s="22" t="s">
        <v>637</v>
      </c>
      <c r="B531" s="105">
        <v>21</v>
      </c>
      <c r="C531" s="105">
        <v>9</v>
      </c>
      <c r="D531" s="2" t="s">
        <v>433</v>
      </c>
      <c r="E531" s="105"/>
      <c r="F531" s="18"/>
      <c r="G531" s="18"/>
      <c r="H531" s="278">
        <v>34444</v>
      </c>
      <c r="I531" s="18"/>
      <c r="J531" s="18"/>
      <c r="K531" s="18"/>
      <c r="L531" s="88">
        <f>SUM(F531:K531)</f>
        <v>34444</v>
      </c>
      <c r="M531" s="8"/>
      <c r="N531" s="269"/>
    </row>
    <row r="532" spans="1:14" s="3" customFormat="1" ht="12" customHeight="1" x14ac:dyDescent="0.15">
      <c r="A532" s="22" t="s">
        <v>638</v>
      </c>
      <c r="B532" s="105">
        <v>21</v>
      </c>
      <c r="C532" s="105">
        <v>10</v>
      </c>
      <c r="D532" s="2" t="s">
        <v>433</v>
      </c>
      <c r="E532" s="105"/>
      <c r="F532" s="18"/>
      <c r="G532" s="18"/>
      <c r="H532" s="278">
        <v>43629</v>
      </c>
      <c r="I532" s="18"/>
      <c r="J532" s="18"/>
      <c r="K532" s="18"/>
      <c r="L532" s="88">
        <f>SUM(F532:K532)</f>
        <v>43629</v>
      </c>
      <c r="M532" s="8"/>
      <c r="N532" s="269"/>
    </row>
    <row r="533" spans="1:14" s="3" customFormat="1" ht="12" customHeight="1" thickBot="1" x14ac:dyDescent="0.2">
      <c r="A533" s="22" t="s">
        <v>639</v>
      </c>
      <c r="B533" s="105">
        <v>21</v>
      </c>
      <c r="C533" s="105">
        <v>11</v>
      </c>
      <c r="D533" s="2" t="s">
        <v>433</v>
      </c>
      <c r="E533" s="105"/>
      <c r="F533" s="18"/>
      <c r="G533" s="18"/>
      <c r="H533" s="278">
        <v>36740</v>
      </c>
      <c r="I533" s="18"/>
      <c r="J533" s="18"/>
      <c r="K533" s="18"/>
      <c r="L533" s="88">
        <f>SUM(F533:K533)</f>
        <v>36740</v>
      </c>
      <c r="M533" s="8"/>
      <c r="N533" s="269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6" t="s">
        <v>433</v>
      </c>
      <c r="E534" s="107"/>
      <c r="F534" s="89">
        <f>SUM(F531:F533)</f>
        <v>0</v>
      </c>
      <c r="G534" s="89">
        <f t="shared" ref="G534:L534" si="38">SUM(G531:G533)</f>
        <v>0</v>
      </c>
      <c r="H534" s="89">
        <f t="shared" si="38"/>
        <v>114813</v>
      </c>
      <c r="I534" s="89">
        <f t="shared" si="38"/>
        <v>0</v>
      </c>
      <c r="J534" s="89">
        <f t="shared" si="38"/>
        <v>0</v>
      </c>
      <c r="K534" s="89">
        <f t="shared" si="38"/>
        <v>0</v>
      </c>
      <c r="L534" s="89">
        <f t="shared" si="38"/>
        <v>114813</v>
      </c>
      <c r="M534" s="8"/>
      <c r="N534" s="269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2" t="s">
        <v>289</v>
      </c>
      <c r="G535" s="192" t="s">
        <v>289</v>
      </c>
      <c r="H535" s="192" t="s">
        <v>289</v>
      </c>
      <c r="I535" s="192" t="s">
        <v>289</v>
      </c>
      <c r="J535" s="192" t="s">
        <v>289</v>
      </c>
      <c r="K535" s="192" t="s">
        <v>289</v>
      </c>
      <c r="L535" s="192" t="s">
        <v>289</v>
      </c>
      <c r="M535" s="8"/>
      <c r="N535" s="269"/>
    </row>
    <row r="536" spans="1:14" s="3" customFormat="1" ht="12" customHeight="1" x14ac:dyDescent="0.15">
      <c r="A536" s="22" t="s">
        <v>637</v>
      </c>
      <c r="B536" s="105">
        <v>21</v>
      </c>
      <c r="C536" s="105">
        <v>13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69"/>
    </row>
    <row r="537" spans="1:14" s="3" customFormat="1" ht="12" customHeight="1" x14ac:dyDescent="0.15">
      <c r="A537" s="22" t="s">
        <v>638</v>
      </c>
      <c r="B537" s="105">
        <v>21</v>
      </c>
      <c r="C537" s="105">
        <v>14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69"/>
    </row>
    <row r="538" spans="1:14" s="3" customFormat="1" ht="12" customHeight="1" thickBot="1" x14ac:dyDescent="0.2">
      <c r="A538" s="22" t="s">
        <v>639</v>
      </c>
      <c r="B538" s="105">
        <v>21</v>
      </c>
      <c r="C538" s="105">
        <v>15</v>
      </c>
      <c r="D538" s="2" t="s">
        <v>433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69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6" t="s">
        <v>433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0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0</v>
      </c>
      <c r="M539" s="8"/>
      <c r="N539" s="269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69"/>
    </row>
    <row r="541" spans="1:14" s="3" customFormat="1" ht="12" customHeight="1" x14ac:dyDescent="0.15">
      <c r="A541" s="22" t="s">
        <v>637</v>
      </c>
      <c r="B541" s="105">
        <v>21</v>
      </c>
      <c r="C541" s="105">
        <v>17</v>
      </c>
      <c r="D541" s="2" t="s">
        <v>433</v>
      </c>
      <c r="E541" s="105"/>
      <c r="F541" s="18">
        <v>8685.2900000000009</v>
      </c>
      <c r="G541" s="18">
        <v>3842.19</v>
      </c>
      <c r="H541" s="18">
        <f>527.19+2409.96</f>
        <v>2937.15</v>
      </c>
      <c r="I541" s="18">
        <v>1590.01</v>
      </c>
      <c r="J541" s="18"/>
      <c r="K541" s="18">
        <v>1.28</v>
      </c>
      <c r="L541" s="88">
        <f>SUM(F541:K541)</f>
        <v>17055.919999999998</v>
      </c>
      <c r="M541" s="8"/>
      <c r="N541" s="269"/>
    </row>
    <row r="542" spans="1:14" s="3" customFormat="1" ht="12" customHeight="1" x14ac:dyDescent="0.15">
      <c r="A542" s="22" t="s">
        <v>638</v>
      </c>
      <c r="B542" s="105">
        <v>21</v>
      </c>
      <c r="C542" s="105">
        <v>18</v>
      </c>
      <c r="D542" s="2" t="s">
        <v>433</v>
      </c>
      <c r="E542" s="105"/>
      <c r="F542" s="18">
        <v>9501.9</v>
      </c>
      <c r="G542" s="18">
        <v>4206.05</v>
      </c>
      <c r="H542" s="18">
        <f>602.06+53519.7</f>
        <v>54121.759999999995</v>
      </c>
      <c r="I542" s="18">
        <v>1788.78</v>
      </c>
      <c r="J542" s="18"/>
      <c r="K542" s="18">
        <v>1.44</v>
      </c>
      <c r="L542" s="88">
        <f>SUM(F542:K542)</f>
        <v>69619.929999999993</v>
      </c>
      <c r="M542" s="8"/>
      <c r="N542" s="269"/>
    </row>
    <row r="543" spans="1:14" s="3" customFormat="1" ht="12" customHeight="1" thickBot="1" x14ac:dyDescent="0.2">
      <c r="A543" s="22" t="s">
        <v>639</v>
      </c>
      <c r="B543" s="105">
        <v>21</v>
      </c>
      <c r="C543" s="105">
        <v>19</v>
      </c>
      <c r="D543" s="2" t="s">
        <v>433</v>
      </c>
      <c r="E543" s="105"/>
      <c r="F543" s="18">
        <v>8448.7999999999993</v>
      </c>
      <c r="G543" s="18">
        <v>3738.6</v>
      </c>
      <c r="H543" s="18">
        <f>518.19+10449.96</f>
        <v>10968.15</v>
      </c>
      <c r="I543" s="18">
        <v>1590.002</v>
      </c>
      <c r="J543" s="18"/>
      <c r="K543" s="18">
        <v>1.28</v>
      </c>
      <c r="L543" s="88">
        <f>SUM(F543:K543)</f>
        <v>24746.831999999999</v>
      </c>
      <c r="M543" s="8"/>
      <c r="N543" s="269"/>
    </row>
    <row r="544" spans="1:14" s="3" customFormat="1" ht="12" customHeight="1" thickTop="1" thickBot="1" x14ac:dyDescent="0.2">
      <c r="A544" s="130" t="s">
        <v>71</v>
      </c>
      <c r="B544" s="189">
        <v>21</v>
      </c>
      <c r="C544" s="189">
        <v>20</v>
      </c>
      <c r="D544" s="190" t="s">
        <v>433</v>
      </c>
      <c r="E544" s="189"/>
      <c r="F544" s="191">
        <f>SUM(F541:F543)</f>
        <v>26635.99</v>
      </c>
      <c r="G544" s="191">
        <f t="shared" ref="G544:L544" si="40">SUM(G541:G543)</f>
        <v>11786.84</v>
      </c>
      <c r="H544" s="191">
        <f t="shared" si="40"/>
        <v>68027.06</v>
      </c>
      <c r="I544" s="191">
        <f t="shared" si="40"/>
        <v>4968.7919999999995</v>
      </c>
      <c r="J544" s="191">
        <f t="shared" si="40"/>
        <v>0</v>
      </c>
      <c r="K544" s="191">
        <f t="shared" si="40"/>
        <v>4</v>
      </c>
      <c r="L544" s="191">
        <f t="shared" si="40"/>
        <v>111422.68199999999</v>
      </c>
      <c r="M544" s="8"/>
      <c r="N544" s="269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6" t="s">
        <v>433</v>
      </c>
      <c r="E545" s="107"/>
      <c r="F545" s="89">
        <f>F524+F529+F534+F539+F544</f>
        <v>1069216.49</v>
      </c>
      <c r="G545" s="89">
        <f t="shared" ref="G545:L545" si="41">G524+G529+G534+G539+G544</f>
        <v>539292.94999999995</v>
      </c>
      <c r="H545" s="89">
        <f t="shared" si="41"/>
        <v>1483384.58</v>
      </c>
      <c r="I545" s="89">
        <f t="shared" si="41"/>
        <v>14519.732</v>
      </c>
      <c r="J545" s="89">
        <f t="shared" si="41"/>
        <v>8139.59</v>
      </c>
      <c r="K545" s="89">
        <f t="shared" si="41"/>
        <v>4</v>
      </c>
      <c r="L545" s="89">
        <f t="shared" si="41"/>
        <v>3114557.3420000002</v>
      </c>
      <c r="M545" s="8"/>
      <c r="N545" s="269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69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289</v>
      </c>
      <c r="M547" s="8"/>
      <c r="N547" s="269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289</v>
      </c>
      <c r="M548" s="8"/>
      <c r="N548" s="269"/>
    </row>
    <row r="549" spans="1:14" s="3" customFormat="1" ht="12" customHeight="1" x14ac:dyDescent="0.15">
      <c r="A549" s="22" t="s">
        <v>637</v>
      </c>
      <c r="B549" s="75">
        <v>21</v>
      </c>
      <c r="C549" s="75">
        <v>22</v>
      </c>
      <c r="D549" s="2" t="s">
        <v>433</v>
      </c>
      <c r="E549" s="75"/>
      <c r="F549" s="87">
        <f>L521</f>
        <v>524100.07999999996</v>
      </c>
      <c r="G549" s="87">
        <f>L526</f>
        <v>147654.57</v>
      </c>
      <c r="H549" s="87">
        <f>L531</f>
        <v>34444</v>
      </c>
      <c r="I549" s="87">
        <f>L536</f>
        <v>0</v>
      </c>
      <c r="J549" s="87">
        <f>L541</f>
        <v>17055.919999999998</v>
      </c>
      <c r="K549" s="87">
        <f>SUM(F549:J549)</f>
        <v>723254.57</v>
      </c>
      <c r="L549" s="24" t="s">
        <v>289</v>
      </c>
      <c r="M549" s="8"/>
      <c r="N549" s="269"/>
    </row>
    <row r="550" spans="1:14" s="3" customFormat="1" ht="12" customHeight="1" x14ac:dyDescent="0.15">
      <c r="A550" s="22" t="s">
        <v>638</v>
      </c>
      <c r="B550" s="75">
        <v>21</v>
      </c>
      <c r="C550" s="75">
        <v>23</v>
      </c>
      <c r="D550" s="2" t="s">
        <v>433</v>
      </c>
      <c r="E550" s="75"/>
      <c r="F550" s="87">
        <f>L522</f>
        <v>1032534.8700000001</v>
      </c>
      <c r="G550" s="87">
        <f>L527</f>
        <v>123236.1</v>
      </c>
      <c r="H550" s="87">
        <f>L532</f>
        <v>43629</v>
      </c>
      <c r="I550" s="87">
        <f>L537</f>
        <v>0</v>
      </c>
      <c r="J550" s="87">
        <f>L542</f>
        <v>69619.929999999993</v>
      </c>
      <c r="K550" s="87">
        <f>SUM(F550:J550)</f>
        <v>1269019.9000000001</v>
      </c>
      <c r="L550" s="24" t="s">
        <v>289</v>
      </c>
      <c r="M550" s="8"/>
      <c r="N550" s="269"/>
    </row>
    <row r="551" spans="1:14" s="3" customFormat="1" ht="12" customHeight="1" thickBot="1" x14ac:dyDescent="0.2">
      <c r="A551" s="22" t="s">
        <v>639</v>
      </c>
      <c r="B551" s="75">
        <v>21</v>
      </c>
      <c r="C551" s="75">
        <v>24</v>
      </c>
      <c r="D551" s="2" t="s">
        <v>433</v>
      </c>
      <c r="E551" s="75"/>
      <c r="F551" s="87">
        <f>L523</f>
        <v>993308.43999999983</v>
      </c>
      <c r="G551" s="87">
        <f>L528</f>
        <v>67487.600000000006</v>
      </c>
      <c r="H551" s="87">
        <f>L533</f>
        <v>36740</v>
      </c>
      <c r="I551" s="87">
        <f>L538</f>
        <v>0</v>
      </c>
      <c r="J551" s="87">
        <f>L543</f>
        <v>24746.831999999999</v>
      </c>
      <c r="K551" s="87">
        <f>SUM(F551:J551)</f>
        <v>1122282.8719999997</v>
      </c>
      <c r="L551" s="24" t="s">
        <v>289</v>
      </c>
      <c r="M551" s="8"/>
      <c r="N551" s="269"/>
    </row>
    <row r="552" spans="1:14" s="3" customFormat="1" ht="12" customHeight="1" thickTop="1" x14ac:dyDescent="0.15">
      <c r="A552" s="170" t="s">
        <v>341</v>
      </c>
      <c r="B552" s="44">
        <v>21</v>
      </c>
      <c r="C552" s="44">
        <v>25</v>
      </c>
      <c r="D552" s="39" t="s">
        <v>433</v>
      </c>
      <c r="E552" s="44"/>
      <c r="F552" s="89">
        <f t="shared" ref="F552:K552" si="42">SUM(F549:F551)</f>
        <v>2549943.39</v>
      </c>
      <c r="G552" s="89">
        <f t="shared" si="42"/>
        <v>338378.27</v>
      </c>
      <c r="H552" s="89">
        <f t="shared" si="42"/>
        <v>114813</v>
      </c>
      <c r="I552" s="89">
        <f t="shared" si="42"/>
        <v>0</v>
      </c>
      <c r="J552" s="89">
        <f t="shared" si="42"/>
        <v>111422.68199999999</v>
      </c>
      <c r="K552" s="89">
        <f t="shared" si="42"/>
        <v>3114557.3420000002</v>
      </c>
      <c r="L552" s="24"/>
      <c r="M552" s="8"/>
      <c r="N552" s="269"/>
    </row>
    <row r="553" spans="1:14" s="3" customFormat="1" ht="12" customHeight="1" x14ac:dyDescent="0.15">
      <c r="A553" s="96" t="s">
        <v>583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69"/>
    </row>
    <row r="554" spans="1:14" s="3" customFormat="1" ht="12" customHeight="1" x14ac:dyDescent="0.15">
      <c r="B554" s="105"/>
      <c r="C554" s="115"/>
      <c r="D554" s="115"/>
      <c r="E554" s="115"/>
      <c r="F554" s="175" t="s">
        <v>693</v>
      </c>
      <c r="G554" s="175" t="s">
        <v>694</v>
      </c>
      <c r="H554" s="175" t="s">
        <v>695</v>
      </c>
      <c r="I554" s="175" t="s">
        <v>696</v>
      </c>
      <c r="J554" s="175" t="s">
        <v>697</v>
      </c>
      <c r="K554" s="175" t="s">
        <v>698</v>
      </c>
      <c r="L554" s="106"/>
      <c r="M554" s="8"/>
      <c r="N554" s="269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69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69"/>
    </row>
    <row r="557" spans="1:14" s="3" customFormat="1" ht="12" customHeight="1" x14ac:dyDescent="0.15">
      <c r="A557" s="22" t="s">
        <v>637</v>
      </c>
      <c r="B557" s="105">
        <v>22</v>
      </c>
      <c r="C557" s="115">
        <v>1</v>
      </c>
      <c r="D557" s="2" t="s">
        <v>433</v>
      </c>
      <c r="E557" s="115"/>
      <c r="F557" s="18">
        <v>156800.48000000001</v>
      </c>
      <c r="G557" s="18">
        <v>69859.149999999994</v>
      </c>
      <c r="H557" s="18"/>
      <c r="I557" s="18"/>
      <c r="J557" s="18"/>
      <c r="K557" s="18"/>
      <c r="L557" s="88">
        <f>SUM(F557:K557)</f>
        <v>226659.63</v>
      </c>
      <c r="M557" s="8"/>
      <c r="N557" s="269"/>
    </row>
    <row r="558" spans="1:14" s="3" customFormat="1" ht="12" customHeight="1" x14ac:dyDescent="0.15">
      <c r="A558" s="22" t="s">
        <v>638</v>
      </c>
      <c r="B558" s="105">
        <v>22</v>
      </c>
      <c r="C558" s="115">
        <v>2</v>
      </c>
      <c r="D558" s="2" t="s">
        <v>433</v>
      </c>
      <c r="E558" s="115"/>
      <c r="F558" s="18">
        <v>17937</v>
      </c>
      <c r="G558" s="18">
        <v>15768.76</v>
      </c>
      <c r="H558" s="18"/>
      <c r="I558" s="18"/>
      <c r="J558" s="18"/>
      <c r="K558" s="18"/>
      <c r="L558" s="88">
        <f>SUM(F558:K558)</f>
        <v>33705.760000000002</v>
      </c>
      <c r="M558" s="8"/>
      <c r="N558" s="269"/>
    </row>
    <row r="559" spans="1:14" s="3" customFormat="1" ht="12" customHeight="1" thickBot="1" x14ac:dyDescent="0.2">
      <c r="A559" s="22" t="s">
        <v>639</v>
      </c>
      <c r="B559" s="105">
        <v>22</v>
      </c>
      <c r="C559" s="115">
        <v>3</v>
      </c>
      <c r="D559" s="2" t="s">
        <v>433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69"/>
    </row>
    <row r="560" spans="1:14" s="3" customFormat="1" ht="12" customHeight="1" thickTop="1" x14ac:dyDescent="0.15">
      <c r="A560" s="139" t="s">
        <v>63</v>
      </c>
      <c r="B560" s="107">
        <v>22</v>
      </c>
      <c r="C560" s="193">
        <v>4</v>
      </c>
      <c r="D560" s="194" t="s">
        <v>433</v>
      </c>
      <c r="E560" s="193"/>
      <c r="F560" s="108">
        <f t="shared" ref="F560:L560" si="43">SUM(F557:F559)</f>
        <v>174737.48</v>
      </c>
      <c r="G560" s="108">
        <f t="shared" si="43"/>
        <v>85627.909999999989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260365.39</v>
      </c>
      <c r="M560" s="8"/>
      <c r="N560" s="269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69"/>
    </row>
    <row r="562" spans="1:14" s="3" customFormat="1" ht="12" customHeight="1" x14ac:dyDescent="0.15">
      <c r="A562" s="22" t="s">
        <v>637</v>
      </c>
      <c r="B562" s="105">
        <v>22</v>
      </c>
      <c r="C562" s="115">
        <v>5</v>
      </c>
      <c r="D562" s="2" t="s">
        <v>433</v>
      </c>
      <c r="E562" s="115"/>
      <c r="F562" s="18">
        <v>17553.2</v>
      </c>
      <c r="G562" s="18">
        <v>6059.57</v>
      </c>
      <c r="H562" s="18"/>
      <c r="I562" s="18"/>
      <c r="J562" s="18"/>
      <c r="K562" s="18"/>
      <c r="L562" s="88">
        <f>SUM(F562:K562)</f>
        <v>23612.77</v>
      </c>
      <c r="M562" s="8"/>
      <c r="N562" s="269"/>
    </row>
    <row r="563" spans="1:14" s="3" customFormat="1" ht="12" customHeight="1" x14ac:dyDescent="0.15">
      <c r="A563" s="22" t="s">
        <v>638</v>
      </c>
      <c r="B563" s="105">
        <v>22</v>
      </c>
      <c r="C563" s="115">
        <v>6</v>
      </c>
      <c r="D563" s="2" t="s">
        <v>433</v>
      </c>
      <c r="E563" s="115"/>
      <c r="F563" s="18">
        <v>30675.71</v>
      </c>
      <c r="G563" s="18">
        <v>10621.89</v>
      </c>
      <c r="H563" s="18"/>
      <c r="I563" s="18">
        <v>111.47</v>
      </c>
      <c r="J563" s="18"/>
      <c r="K563" s="18"/>
      <c r="L563" s="88">
        <f>SUM(F563:K563)</f>
        <v>41409.07</v>
      </c>
      <c r="M563" s="8"/>
      <c r="N563" s="269"/>
    </row>
    <row r="564" spans="1:14" s="3" customFormat="1" ht="12" customHeight="1" thickBot="1" x14ac:dyDescent="0.2">
      <c r="A564" s="22" t="s">
        <v>639</v>
      </c>
      <c r="B564" s="105">
        <v>22</v>
      </c>
      <c r="C564" s="118">
        <v>7</v>
      </c>
      <c r="D564" s="2" t="s">
        <v>433</v>
      </c>
      <c r="E564" s="118"/>
      <c r="F564" s="18">
        <v>421.87</v>
      </c>
      <c r="G564" s="18">
        <v>149.22999999999999</v>
      </c>
      <c r="H564" s="18"/>
      <c r="I564" s="18"/>
      <c r="J564" s="18"/>
      <c r="K564" s="18"/>
      <c r="L564" s="88">
        <f>SUM(F564:K564)</f>
        <v>571.1</v>
      </c>
      <c r="M564" s="8"/>
      <c r="N564" s="269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4" t="s">
        <v>433</v>
      </c>
      <c r="E565" s="107"/>
      <c r="F565" s="89">
        <f t="shared" ref="F565:L565" si="44">SUM(F562:F564)</f>
        <v>48650.780000000006</v>
      </c>
      <c r="G565" s="89">
        <f t="shared" si="44"/>
        <v>16830.689999999999</v>
      </c>
      <c r="H565" s="89">
        <f t="shared" si="44"/>
        <v>0</v>
      </c>
      <c r="I565" s="89">
        <f t="shared" si="44"/>
        <v>111.47</v>
      </c>
      <c r="J565" s="89">
        <f t="shared" si="44"/>
        <v>0</v>
      </c>
      <c r="K565" s="89">
        <f t="shared" si="44"/>
        <v>0</v>
      </c>
      <c r="L565" s="89">
        <f t="shared" si="44"/>
        <v>65592.94</v>
      </c>
      <c r="M565" s="8"/>
      <c r="N565" s="269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69"/>
    </row>
    <row r="567" spans="1:14" s="3" customFormat="1" ht="12" customHeight="1" x14ac:dyDescent="0.15">
      <c r="A567" s="22" t="s">
        <v>637</v>
      </c>
      <c r="B567" s="105">
        <v>22</v>
      </c>
      <c r="C567" s="105">
        <v>9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69"/>
    </row>
    <row r="568" spans="1:14" s="3" customFormat="1" ht="12" customHeight="1" x14ac:dyDescent="0.15">
      <c r="A568" s="22" t="s">
        <v>638</v>
      </c>
      <c r="B568" s="105">
        <v>22</v>
      </c>
      <c r="C568" s="105">
        <v>10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69"/>
    </row>
    <row r="569" spans="1:14" s="3" customFormat="1" ht="12" customHeight="1" thickBot="1" x14ac:dyDescent="0.2">
      <c r="A569" s="22" t="s">
        <v>639</v>
      </c>
      <c r="B569" s="105">
        <v>22</v>
      </c>
      <c r="C569" s="105">
        <v>11</v>
      </c>
      <c r="D569" s="2" t="s">
        <v>433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69"/>
    </row>
    <row r="570" spans="1:14" s="3" customFormat="1" ht="12" customHeight="1" thickTop="1" thickBot="1" x14ac:dyDescent="0.2">
      <c r="A570" s="130" t="s">
        <v>67</v>
      </c>
      <c r="B570" s="189">
        <v>22</v>
      </c>
      <c r="C570" s="189">
        <v>12</v>
      </c>
      <c r="D570" s="195" t="s">
        <v>433</v>
      </c>
      <c r="E570" s="189"/>
      <c r="F570" s="191">
        <f>SUM(F567:F569)</f>
        <v>0</v>
      </c>
      <c r="G570" s="191">
        <f t="shared" ref="G570:L570" si="45">SUM(G567:G569)</f>
        <v>0</v>
      </c>
      <c r="H570" s="191">
        <f t="shared" si="45"/>
        <v>0</v>
      </c>
      <c r="I570" s="191">
        <f t="shared" si="45"/>
        <v>0</v>
      </c>
      <c r="J570" s="191">
        <f t="shared" si="45"/>
        <v>0</v>
      </c>
      <c r="K570" s="191">
        <f t="shared" si="45"/>
        <v>0</v>
      </c>
      <c r="L570" s="191">
        <f t="shared" si="45"/>
        <v>0</v>
      </c>
      <c r="M570" s="8"/>
      <c r="N570" s="269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6" t="s">
        <v>433</v>
      </c>
      <c r="E571" s="107"/>
      <c r="F571" s="89">
        <f>F560+F565+F570</f>
        <v>223388.26</v>
      </c>
      <c r="G571" s="89">
        <f t="shared" ref="G571:L571" si="46">G560+G565+G570</f>
        <v>102458.59999999999</v>
      </c>
      <c r="H571" s="89">
        <f t="shared" si="46"/>
        <v>0</v>
      </c>
      <c r="I571" s="89">
        <f t="shared" si="46"/>
        <v>111.47</v>
      </c>
      <c r="J571" s="89">
        <f t="shared" si="46"/>
        <v>0</v>
      </c>
      <c r="K571" s="89">
        <f t="shared" si="46"/>
        <v>0</v>
      </c>
      <c r="L571" s="89">
        <f t="shared" si="46"/>
        <v>325958.33</v>
      </c>
      <c r="M571" s="8"/>
      <c r="N571" s="269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69"/>
    </row>
    <row r="573" spans="1:14" s="3" customFormat="1" ht="12" customHeight="1" x14ac:dyDescent="0.15">
      <c r="A573" s="97" t="s">
        <v>775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69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289</v>
      </c>
      <c r="K574" s="24" t="s">
        <v>289</v>
      </c>
      <c r="L574" s="24" t="s">
        <v>289</v>
      </c>
      <c r="M574" s="8"/>
      <c r="N574" s="269"/>
    </row>
    <row r="575" spans="1:14" s="3" customFormat="1" ht="12" customHeight="1" x14ac:dyDescent="0.15">
      <c r="A575" s="99" t="s">
        <v>673</v>
      </c>
      <c r="B575" s="75">
        <v>22</v>
      </c>
      <c r="C575" s="75">
        <v>14</v>
      </c>
      <c r="D575" s="2" t="s">
        <v>433</v>
      </c>
      <c r="E575" s="75">
        <v>561</v>
      </c>
      <c r="F575" s="18"/>
      <c r="G575" s="18">
        <v>2279</v>
      </c>
      <c r="H575" s="18"/>
      <c r="I575" s="87">
        <f>SUM(F575:H575)</f>
        <v>2279</v>
      </c>
      <c r="J575" s="24" t="s">
        <v>289</v>
      </c>
      <c r="K575" s="24" t="s">
        <v>289</v>
      </c>
      <c r="L575" s="24" t="s">
        <v>289</v>
      </c>
      <c r="M575" s="8"/>
      <c r="N575" s="269"/>
    </row>
    <row r="576" spans="1:14" s="3" customFormat="1" ht="12" customHeight="1" x14ac:dyDescent="0.15">
      <c r="A576" s="99" t="s">
        <v>674</v>
      </c>
      <c r="B576" s="75">
        <v>22</v>
      </c>
      <c r="C576" s="75">
        <v>15</v>
      </c>
      <c r="D576" s="2" t="s">
        <v>433</v>
      </c>
      <c r="E576" s="75">
        <v>562</v>
      </c>
      <c r="F576" s="18"/>
      <c r="G576" s="18">
        <v>13279</v>
      </c>
      <c r="H576" s="18">
        <v>22774</v>
      </c>
      <c r="I576" s="87">
        <f t="shared" ref="I576:I587" si="47">SUM(F576:H576)</f>
        <v>36053</v>
      </c>
      <c r="J576" s="24" t="s">
        <v>289</v>
      </c>
      <c r="K576" s="24" t="s">
        <v>289</v>
      </c>
      <c r="L576" s="24" t="s">
        <v>289</v>
      </c>
      <c r="M576" s="8"/>
      <c r="N576" s="269"/>
    </row>
    <row r="577" spans="1:14" s="3" customFormat="1" ht="12" customHeight="1" x14ac:dyDescent="0.15">
      <c r="A577" s="99" t="s">
        <v>744</v>
      </c>
      <c r="B577" s="75">
        <v>22</v>
      </c>
      <c r="C577" s="75">
        <v>16</v>
      </c>
      <c r="D577" s="2" t="s">
        <v>433</v>
      </c>
      <c r="E577" s="75">
        <v>563</v>
      </c>
      <c r="F577" s="24" t="s">
        <v>289</v>
      </c>
      <c r="G577" s="24" t="s">
        <v>289</v>
      </c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69"/>
    </row>
    <row r="578" spans="1:14" s="3" customFormat="1" ht="12" customHeight="1" x14ac:dyDescent="0.15">
      <c r="A578" s="99" t="s">
        <v>678</v>
      </c>
      <c r="B578" s="75">
        <v>22</v>
      </c>
      <c r="C578" s="75">
        <v>17</v>
      </c>
      <c r="D578" s="2" t="s">
        <v>433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  <c r="N578" s="269"/>
    </row>
    <row r="579" spans="1:14" s="3" customFormat="1" ht="12" customHeight="1" x14ac:dyDescent="0.15">
      <c r="A579" s="99" t="s">
        <v>675</v>
      </c>
      <c r="B579" s="75">
        <v>22</v>
      </c>
      <c r="C579" s="75">
        <v>18</v>
      </c>
      <c r="D579" s="2" t="s">
        <v>433</v>
      </c>
      <c r="E579" s="75">
        <v>561</v>
      </c>
      <c r="F579" s="18"/>
      <c r="G579" s="18"/>
      <c r="H579" s="280">
        <v>0</v>
      </c>
      <c r="I579" s="87">
        <f t="shared" si="47"/>
        <v>0</v>
      </c>
      <c r="J579" s="24" t="s">
        <v>289</v>
      </c>
      <c r="K579" s="24" t="s">
        <v>289</v>
      </c>
      <c r="L579" s="24" t="s">
        <v>289</v>
      </c>
      <c r="M579" s="8"/>
      <c r="N579" s="269"/>
    </row>
    <row r="580" spans="1:14" s="3" customFormat="1" ht="12" customHeight="1" x14ac:dyDescent="0.15">
      <c r="A580" s="99" t="s">
        <v>676</v>
      </c>
      <c r="B580" s="75">
        <v>22</v>
      </c>
      <c r="C580" s="75">
        <v>19</v>
      </c>
      <c r="D580" s="2" t="s">
        <v>433</v>
      </c>
      <c r="E580" s="75">
        <v>562</v>
      </c>
      <c r="F580" s="18"/>
      <c r="G580" s="18"/>
      <c r="H580" s="18">
        <v>5247</v>
      </c>
      <c r="I580" s="87">
        <f t="shared" si="47"/>
        <v>5247</v>
      </c>
      <c r="J580" s="24" t="s">
        <v>289</v>
      </c>
      <c r="K580" s="24" t="s">
        <v>289</v>
      </c>
      <c r="L580" s="24" t="s">
        <v>289</v>
      </c>
      <c r="M580" s="8"/>
      <c r="N580" s="269"/>
    </row>
    <row r="581" spans="1:14" s="3" customFormat="1" ht="12" customHeight="1" x14ac:dyDescent="0.15">
      <c r="A581" s="146" t="s">
        <v>745</v>
      </c>
      <c r="B581" s="75">
        <v>22</v>
      </c>
      <c r="C581" s="75">
        <v>20</v>
      </c>
      <c r="D581" s="2" t="s">
        <v>433</v>
      </c>
      <c r="E581" s="75">
        <v>563</v>
      </c>
      <c r="F581" s="24" t="s">
        <v>289</v>
      </c>
      <c r="G581" s="24" t="s">
        <v>289</v>
      </c>
      <c r="H581" s="18"/>
      <c r="I581" s="87">
        <f t="shared" si="47"/>
        <v>0</v>
      </c>
      <c r="J581" s="24" t="s">
        <v>289</v>
      </c>
      <c r="K581" s="24" t="s">
        <v>289</v>
      </c>
      <c r="L581" s="24" t="s">
        <v>289</v>
      </c>
      <c r="M581" s="8"/>
      <c r="N581" s="269"/>
    </row>
    <row r="582" spans="1:14" s="3" customFormat="1" ht="12" customHeight="1" x14ac:dyDescent="0.15">
      <c r="A582" s="146" t="s">
        <v>677</v>
      </c>
      <c r="B582" s="75">
        <v>22</v>
      </c>
      <c r="C582" s="75">
        <v>21</v>
      </c>
      <c r="D582" s="2" t="s">
        <v>433</v>
      </c>
      <c r="E582" s="75">
        <v>564</v>
      </c>
      <c r="F582" s="281">
        <v>88774.32</v>
      </c>
      <c r="G582" s="281">
        <v>347419</v>
      </c>
      <c r="H582" s="281">
        <v>277574</v>
      </c>
      <c r="I582" s="87">
        <f t="shared" si="47"/>
        <v>713767.32000000007</v>
      </c>
      <c r="J582" s="24" t="s">
        <v>289</v>
      </c>
      <c r="K582" s="24" t="s">
        <v>289</v>
      </c>
      <c r="L582" s="24" t="s">
        <v>289</v>
      </c>
      <c r="M582" s="8"/>
      <c r="N582" s="269"/>
    </row>
    <row r="583" spans="1:14" s="3" customFormat="1" ht="12" customHeight="1" x14ac:dyDescent="0.15">
      <c r="A583" s="146" t="s">
        <v>640</v>
      </c>
      <c r="B583" s="75">
        <v>22</v>
      </c>
      <c r="C583" s="75">
        <v>22</v>
      </c>
      <c r="D583" s="2" t="s">
        <v>433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  <c r="N583" s="269"/>
    </row>
    <row r="584" spans="1:14" s="3" customFormat="1" ht="12" customHeight="1" x14ac:dyDescent="0.15">
      <c r="A584" s="22" t="s">
        <v>679</v>
      </c>
      <c r="B584" s="75">
        <v>22</v>
      </c>
      <c r="C584" s="75">
        <v>23</v>
      </c>
      <c r="D584" s="2" t="s">
        <v>433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  <c r="N584" s="269"/>
    </row>
    <row r="585" spans="1:14" s="3" customFormat="1" ht="12" customHeight="1" x14ac:dyDescent="0.15">
      <c r="A585" s="22" t="s">
        <v>680</v>
      </c>
      <c r="B585" s="75">
        <v>22</v>
      </c>
      <c r="C585" s="75">
        <v>24</v>
      </c>
      <c r="D585" s="2" t="s">
        <v>433</v>
      </c>
      <c r="E585" s="75">
        <v>562</v>
      </c>
      <c r="F585" s="18"/>
      <c r="G585" s="18"/>
      <c r="H585" s="18">
        <v>282984</v>
      </c>
      <c r="I585" s="87">
        <f t="shared" si="47"/>
        <v>282984</v>
      </c>
      <c r="J585" s="24" t="s">
        <v>289</v>
      </c>
      <c r="K585" s="24" t="s">
        <v>289</v>
      </c>
      <c r="L585" s="24" t="s">
        <v>289</v>
      </c>
      <c r="M585" s="8"/>
      <c r="N585" s="269"/>
    </row>
    <row r="586" spans="1:14" s="3" customFormat="1" ht="12" customHeight="1" x14ac:dyDescent="0.15">
      <c r="A586" s="22" t="s">
        <v>746</v>
      </c>
      <c r="B586" s="75">
        <v>22</v>
      </c>
      <c r="C586" s="75">
        <v>25</v>
      </c>
      <c r="D586" s="2" t="s">
        <v>433</v>
      </c>
      <c r="E586" s="75">
        <v>563</v>
      </c>
      <c r="F586" s="24" t="s">
        <v>289</v>
      </c>
      <c r="G586" s="24" t="s">
        <v>289</v>
      </c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69"/>
    </row>
    <row r="587" spans="1:14" s="3" customFormat="1" ht="12" customHeight="1" x14ac:dyDescent="0.15">
      <c r="A587" s="22" t="s">
        <v>681</v>
      </c>
      <c r="B587" s="75">
        <v>22</v>
      </c>
      <c r="C587" s="75">
        <v>26</v>
      </c>
      <c r="D587" s="2" t="s">
        <v>433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289</v>
      </c>
      <c r="K587" s="24" t="s">
        <v>289</v>
      </c>
      <c r="L587" s="24" t="s">
        <v>289</v>
      </c>
      <c r="M587" s="8"/>
      <c r="N587" s="269"/>
    </row>
    <row r="588" spans="1:14" s="3" customFormat="1" ht="12" customHeight="1" x14ac:dyDescent="0.15">
      <c r="A588" s="171" t="s">
        <v>747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69"/>
    </row>
    <row r="589" spans="1:14" s="3" customFormat="1" ht="12" customHeight="1" x14ac:dyDescent="0.15">
      <c r="A589" s="147" t="s">
        <v>658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69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69"/>
    </row>
    <row r="591" spans="1:14" s="3" customFormat="1" ht="12" customHeight="1" x14ac:dyDescent="0.15">
      <c r="A591" s="3" t="s">
        <v>641</v>
      </c>
      <c r="B591" s="75">
        <v>23</v>
      </c>
      <c r="C591" s="75">
        <v>1</v>
      </c>
      <c r="D591" s="2" t="s">
        <v>433</v>
      </c>
      <c r="E591" s="75"/>
      <c r="F591" s="102">
        <v>2721</v>
      </c>
      <c r="G591" s="103" t="s">
        <v>97</v>
      </c>
      <c r="H591" s="279">
        <v>102217.7</v>
      </c>
      <c r="I591" s="279">
        <v>114994.91</v>
      </c>
      <c r="J591" s="279">
        <v>102539.1</v>
      </c>
      <c r="K591" s="104">
        <f t="shared" ref="K591:K597" si="48">SUM(H591:J591)</f>
        <v>319751.70999999996</v>
      </c>
      <c r="L591" s="24" t="s">
        <v>289</v>
      </c>
      <c r="M591" s="8"/>
      <c r="N591" s="269"/>
    </row>
    <row r="592" spans="1:14" s="3" customFormat="1" ht="12" customHeight="1" x14ac:dyDescent="0.15">
      <c r="A592" s="3" t="s">
        <v>642</v>
      </c>
      <c r="B592" s="75">
        <v>23</v>
      </c>
      <c r="C592" s="75">
        <v>2</v>
      </c>
      <c r="D592" s="2" t="s">
        <v>433</v>
      </c>
      <c r="E592" s="75"/>
      <c r="F592" s="102">
        <v>2722</v>
      </c>
      <c r="G592" s="103" t="s">
        <v>97</v>
      </c>
      <c r="H592" s="279">
        <v>17075.919999999998</v>
      </c>
      <c r="I592" s="279">
        <v>69641.929999999993</v>
      </c>
      <c r="J592" s="279">
        <v>24704.85</v>
      </c>
      <c r="K592" s="104">
        <f t="shared" si="48"/>
        <v>111422.69999999998</v>
      </c>
      <c r="L592" s="24" t="s">
        <v>289</v>
      </c>
      <c r="M592" s="8"/>
      <c r="N592" s="269"/>
    </row>
    <row r="593" spans="1:14" s="3" customFormat="1" ht="12" customHeight="1" x14ac:dyDescent="0.15">
      <c r="A593" s="3" t="s">
        <v>643</v>
      </c>
      <c r="B593" s="75">
        <v>23</v>
      </c>
      <c r="C593" s="75">
        <v>3</v>
      </c>
      <c r="D593" s="2" t="s">
        <v>433</v>
      </c>
      <c r="E593" s="75"/>
      <c r="F593" s="102">
        <v>2723</v>
      </c>
      <c r="G593" s="103" t="s">
        <v>97</v>
      </c>
      <c r="H593" s="279"/>
      <c r="I593" s="279"/>
      <c r="J593" s="279">
        <v>16313.28</v>
      </c>
      <c r="K593" s="104">
        <f t="shared" si="48"/>
        <v>16313.28</v>
      </c>
      <c r="L593" s="24" t="s">
        <v>289</v>
      </c>
      <c r="M593" s="8"/>
      <c r="N593" s="269"/>
    </row>
    <row r="594" spans="1:14" s="3" customFormat="1" ht="12" customHeight="1" x14ac:dyDescent="0.15">
      <c r="A594" s="22" t="s">
        <v>644</v>
      </c>
      <c r="B594" s="75">
        <v>23</v>
      </c>
      <c r="C594" s="75">
        <v>4</v>
      </c>
      <c r="D594" s="2" t="s">
        <v>433</v>
      </c>
      <c r="E594" s="75"/>
      <c r="F594" s="102">
        <v>2724</v>
      </c>
      <c r="G594" s="103" t="s">
        <v>97</v>
      </c>
      <c r="H594" s="279"/>
      <c r="I594" s="279">
        <v>4894.53</v>
      </c>
      <c r="J594" s="279">
        <v>23984.93</v>
      </c>
      <c r="K594" s="104">
        <f t="shared" si="48"/>
        <v>28879.46</v>
      </c>
      <c r="L594" s="24" t="s">
        <v>289</v>
      </c>
      <c r="M594" s="8"/>
      <c r="N594" s="269"/>
    </row>
    <row r="595" spans="1:14" s="3" customFormat="1" ht="12" customHeight="1" x14ac:dyDescent="0.15">
      <c r="A595" s="169" t="s">
        <v>656</v>
      </c>
      <c r="B595" s="75">
        <v>23</v>
      </c>
      <c r="C595" s="75">
        <v>5</v>
      </c>
      <c r="D595" s="2" t="s">
        <v>433</v>
      </c>
      <c r="E595" s="75"/>
      <c r="F595" s="102">
        <v>2725</v>
      </c>
      <c r="G595" s="103" t="s">
        <v>97</v>
      </c>
      <c r="H595" s="279">
        <v>1653.95</v>
      </c>
      <c r="I595" s="279">
        <v>6638.15</v>
      </c>
      <c r="J595" s="279">
        <v>1154.45</v>
      </c>
      <c r="K595" s="104">
        <f t="shared" si="48"/>
        <v>9446.5500000000011</v>
      </c>
      <c r="L595" s="24" t="s">
        <v>289</v>
      </c>
      <c r="M595" s="8"/>
      <c r="N595" s="269"/>
    </row>
    <row r="596" spans="1:14" s="3" customFormat="1" ht="12" customHeight="1" x14ac:dyDescent="0.15">
      <c r="A596" s="22" t="s">
        <v>645</v>
      </c>
      <c r="B596" s="75">
        <v>23</v>
      </c>
      <c r="C596" s="75">
        <v>6</v>
      </c>
      <c r="D596" s="2" t="s">
        <v>433</v>
      </c>
      <c r="E596" s="75"/>
      <c r="F596" s="102">
        <v>2726</v>
      </c>
      <c r="G596" s="103" t="s">
        <v>97</v>
      </c>
      <c r="H596" s="279"/>
      <c r="I596" s="279">
        <v>8266.2100000000009</v>
      </c>
      <c r="J596" s="279"/>
      <c r="K596" s="104">
        <f t="shared" si="48"/>
        <v>8266.2100000000009</v>
      </c>
      <c r="L596" s="24" t="s">
        <v>289</v>
      </c>
      <c r="M596" s="8"/>
      <c r="N596" s="269"/>
    </row>
    <row r="597" spans="1:14" s="3" customFormat="1" ht="12" customHeight="1" thickBot="1" x14ac:dyDescent="0.2">
      <c r="A597" s="3" t="s">
        <v>659</v>
      </c>
      <c r="B597" s="75">
        <v>23</v>
      </c>
      <c r="C597" s="75">
        <v>7</v>
      </c>
      <c r="D597" s="2" t="s">
        <v>433</v>
      </c>
      <c r="E597" s="75"/>
      <c r="F597" s="102">
        <v>2729</v>
      </c>
      <c r="G597" s="103" t="s">
        <v>97</v>
      </c>
      <c r="H597" s="279">
        <v>7352.8600000000006</v>
      </c>
      <c r="I597" s="279"/>
      <c r="J597" s="279">
        <v>7358.5599999999995</v>
      </c>
      <c r="K597" s="104">
        <f t="shared" si="48"/>
        <v>14711.42</v>
      </c>
      <c r="L597" s="24" t="s">
        <v>289</v>
      </c>
      <c r="M597" s="8"/>
      <c r="N597" s="269"/>
    </row>
    <row r="598" spans="1:14" s="3" customFormat="1" ht="12" customHeight="1" thickTop="1" x14ac:dyDescent="0.15">
      <c r="A598" s="98" t="s">
        <v>341</v>
      </c>
      <c r="B598" s="44">
        <v>23</v>
      </c>
      <c r="C598" s="44">
        <v>8</v>
      </c>
      <c r="D598" s="39" t="s">
        <v>433</v>
      </c>
      <c r="E598" s="44"/>
      <c r="F598" s="148">
        <v>2700</v>
      </c>
      <c r="G598" s="149" t="s">
        <v>97</v>
      </c>
      <c r="H598" s="108">
        <f>SUM(H591:H597)</f>
        <v>128300.43</v>
      </c>
      <c r="I598" s="108">
        <f>SUM(I591:I597)</f>
        <v>204435.72999999998</v>
      </c>
      <c r="J598" s="108">
        <f>SUM(J591:J597)</f>
        <v>176055.17</v>
      </c>
      <c r="K598" s="108">
        <f>SUM(K591:K597)</f>
        <v>508791.32999999996</v>
      </c>
      <c r="L598" s="24" t="s">
        <v>289</v>
      </c>
      <c r="M598" s="8"/>
      <c r="N598" s="269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69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69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69"/>
    </row>
    <row r="602" spans="1:14" s="3" customFormat="1" ht="12" customHeight="1" x14ac:dyDescent="0.15">
      <c r="A602" s="22" t="s">
        <v>646</v>
      </c>
      <c r="B602" s="105">
        <v>23</v>
      </c>
      <c r="C602" s="105">
        <v>9</v>
      </c>
      <c r="D602" s="2" t="s">
        <v>433</v>
      </c>
      <c r="E602" s="105"/>
      <c r="F602" s="103" t="s">
        <v>477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69"/>
    </row>
    <row r="603" spans="1:14" s="3" customFormat="1" ht="12" customHeight="1" x14ac:dyDescent="0.15">
      <c r="A603" s="22" t="s">
        <v>647</v>
      </c>
      <c r="B603" s="105">
        <v>23</v>
      </c>
      <c r="C603" s="105">
        <v>10</v>
      </c>
      <c r="D603" s="2" t="s">
        <v>433</v>
      </c>
      <c r="E603" s="105"/>
      <c r="F603" s="103" t="s">
        <v>477</v>
      </c>
      <c r="G603" s="102">
        <v>720</v>
      </c>
      <c r="H603" s="18">
        <v>64714.36</v>
      </c>
      <c r="I603" s="18"/>
      <c r="J603" s="18"/>
      <c r="K603" s="104">
        <f>SUM(H603:J603)</f>
        <v>64714.36</v>
      </c>
      <c r="L603" s="24" t="s">
        <v>289</v>
      </c>
      <c r="M603" s="8"/>
      <c r="N603" s="269"/>
    </row>
    <row r="604" spans="1:14" s="3" customFormat="1" ht="12" customHeight="1" thickBot="1" x14ac:dyDescent="0.2">
      <c r="A604" s="22" t="s">
        <v>648</v>
      </c>
      <c r="B604" s="105">
        <v>23</v>
      </c>
      <c r="C604" s="105">
        <v>11</v>
      </c>
      <c r="D604" s="2" t="s">
        <v>433</v>
      </c>
      <c r="E604" s="105"/>
      <c r="F604" s="103" t="s">
        <v>477</v>
      </c>
      <c r="G604" s="102">
        <v>730</v>
      </c>
      <c r="H604" s="18">
        <v>15444.85</v>
      </c>
      <c r="I604" s="18">
        <v>31304.29</v>
      </c>
      <c r="J604" s="18">
        <v>57735.32</v>
      </c>
      <c r="K604" s="104">
        <f>SUM(H604:J604)</f>
        <v>104484.45999999999</v>
      </c>
      <c r="L604" s="24" t="s">
        <v>289</v>
      </c>
      <c r="M604" s="8"/>
      <c r="N604" s="269"/>
    </row>
    <row r="605" spans="1:14" s="3" customFormat="1" ht="12" customHeight="1" thickTop="1" x14ac:dyDescent="0.15">
      <c r="A605" s="98" t="s">
        <v>341</v>
      </c>
      <c r="B605" s="44">
        <v>23</v>
      </c>
      <c r="C605" s="44">
        <v>12</v>
      </c>
      <c r="D605" s="39" t="s">
        <v>433</v>
      </c>
      <c r="E605" s="44"/>
      <c r="F605" s="149" t="s">
        <v>477</v>
      </c>
      <c r="G605" s="148">
        <v>700</v>
      </c>
      <c r="H605" s="108">
        <f>SUM(H602:H604)</f>
        <v>80159.210000000006</v>
      </c>
      <c r="I605" s="108">
        <f>SUM(I602:I604)</f>
        <v>31304.29</v>
      </c>
      <c r="J605" s="108">
        <f>SUM(J602:J604)</f>
        <v>57735.32</v>
      </c>
      <c r="K605" s="108">
        <f>SUM(K602:K604)</f>
        <v>169198.82</v>
      </c>
      <c r="L605" s="24" t="s">
        <v>289</v>
      </c>
      <c r="M605" s="8"/>
      <c r="N605" s="269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69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69"/>
    </row>
    <row r="608" spans="1:14" s="3" customFormat="1" ht="12" customHeight="1" x14ac:dyDescent="0.15">
      <c r="A608" s="96" t="s">
        <v>584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69"/>
    </row>
    <row r="609" spans="1:14" s="3" customFormat="1" ht="12" customHeight="1" x14ac:dyDescent="0.15">
      <c r="B609" s="105"/>
      <c r="C609" s="105"/>
      <c r="D609" s="105"/>
      <c r="E609" s="105"/>
      <c r="F609" s="175" t="s">
        <v>693</v>
      </c>
      <c r="G609" s="175" t="s">
        <v>694</v>
      </c>
      <c r="H609" s="175" t="s">
        <v>695</v>
      </c>
      <c r="I609" s="175" t="s">
        <v>696</v>
      </c>
      <c r="J609" s="175" t="s">
        <v>697</v>
      </c>
      <c r="K609" s="175" t="s">
        <v>698</v>
      </c>
      <c r="L609" s="88"/>
      <c r="M609" s="8"/>
      <c r="N609" s="269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69"/>
    </row>
    <row r="611" spans="1:14" s="3" customFormat="1" ht="12" customHeight="1" x14ac:dyDescent="0.15">
      <c r="A611" s="22" t="s">
        <v>637</v>
      </c>
      <c r="B611" s="75">
        <v>23</v>
      </c>
      <c r="C611" s="75">
        <v>13</v>
      </c>
      <c r="D611" s="2" t="s">
        <v>433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69"/>
    </row>
    <row r="612" spans="1:14" s="3" customFormat="1" ht="12" customHeight="1" x14ac:dyDescent="0.15">
      <c r="A612" s="22" t="s">
        <v>638</v>
      </c>
      <c r="B612" s="75">
        <v>23</v>
      </c>
      <c r="C612" s="75">
        <v>14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69"/>
    </row>
    <row r="613" spans="1:14" s="3" customFormat="1" ht="12" customHeight="1" thickBot="1" x14ac:dyDescent="0.2">
      <c r="A613" s="22" t="s">
        <v>649</v>
      </c>
      <c r="B613" s="75">
        <v>23</v>
      </c>
      <c r="C613" s="75">
        <v>15</v>
      </c>
      <c r="D613" s="2" t="s">
        <v>433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69"/>
    </row>
    <row r="614" spans="1:14" s="3" customFormat="1" ht="12" customHeight="1" thickTop="1" x14ac:dyDescent="0.15">
      <c r="A614" s="98" t="s">
        <v>341</v>
      </c>
      <c r="B614" s="107">
        <v>23</v>
      </c>
      <c r="C614" s="107">
        <v>16</v>
      </c>
      <c r="D614" s="39" t="s">
        <v>433</v>
      </c>
      <c r="E614" s="107"/>
      <c r="F614" s="108">
        <f t="shared" ref="F614:L614" si="49">SUM(F611:F613)</f>
        <v>0</v>
      </c>
      <c r="G614" s="108">
        <f t="shared" si="49"/>
        <v>0</v>
      </c>
      <c r="H614" s="108">
        <f t="shared" si="49"/>
        <v>0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0</v>
      </c>
      <c r="M614" s="8"/>
      <c r="N614" s="269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687</v>
      </c>
      <c r="G617" s="109">
        <f>SUM(F19)</f>
        <v>479973.31</v>
      </c>
      <c r="H617" s="109">
        <f>SUM(F52)</f>
        <v>479973.31</v>
      </c>
      <c r="I617" s="121" t="s">
        <v>900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688</v>
      </c>
      <c r="G618" s="109">
        <f>SUM(G19)</f>
        <v>47888.22</v>
      </c>
      <c r="H618" s="109">
        <f>SUM(G52)</f>
        <v>47888.22</v>
      </c>
      <c r="I618" s="121" t="s">
        <v>901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689</v>
      </c>
      <c r="G619" s="109">
        <f>SUM(H19)</f>
        <v>112245.52</v>
      </c>
      <c r="H619" s="109">
        <f>SUM(H52)</f>
        <v>112245.52</v>
      </c>
      <c r="I619" s="121" t="s">
        <v>902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690</v>
      </c>
      <c r="G620" s="109">
        <f>SUM(I19)</f>
        <v>4563.46</v>
      </c>
      <c r="H620" s="109">
        <f>SUM(I52)</f>
        <v>4563.46</v>
      </c>
      <c r="I620" s="121" t="s">
        <v>903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691</v>
      </c>
      <c r="G621" s="109">
        <f>SUM(J19)</f>
        <v>80000</v>
      </c>
      <c r="H621" s="109">
        <f>SUM(J52)</f>
        <v>80000</v>
      </c>
      <c r="I621" s="121" t="s">
        <v>904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881</v>
      </c>
      <c r="G622" s="109">
        <f>F51</f>
        <v>261569.99</v>
      </c>
      <c r="H622" s="109">
        <f>F476</f>
        <v>261569.99000000022</v>
      </c>
      <c r="I622" s="121" t="s">
        <v>101</v>
      </c>
      <c r="J622" s="109">
        <f t="shared" ref="J622:J655" si="50">G622-H622</f>
        <v>-2.3283064365386963E-10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882</v>
      </c>
      <c r="G623" s="109">
        <f>G51</f>
        <v>18356.66</v>
      </c>
      <c r="H623" s="109">
        <f>G476</f>
        <v>18356.660000000033</v>
      </c>
      <c r="I623" s="121" t="s">
        <v>102</v>
      </c>
      <c r="J623" s="109">
        <f t="shared" si="50"/>
        <v>-3.2741809263825417E-11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883</v>
      </c>
      <c r="G624" s="109">
        <f>H51</f>
        <v>5849.8</v>
      </c>
      <c r="H624" s="109">
        <f>H476</f>
        <v>5849.800000000163</v>
      </c>
      <c r="I624" s="121" t="s">
        <v>103</v>
      </c>
      <c r="J624" s="109">
        <f t="shared" si="50"/>
        <v>-1.6279955161735415E-10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884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885</v>
      </c>
      <c r="G626" s="109">
        <f>J51</f>
        <v>0</v>
      </c>
      <c r="H626" s="109">
        <f>J476</f>
        <v>0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662</v>
      </c>
      <c r="G627" s="109">
        <f>F193</f>
        <v>13031557.91</v>
      </c>
      <c r="H627" s="104">
        <f>SUM(F468)</f>
        <v>13031557.91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663</v>
      </c>
      <c r="G628" s="109">
        <f>G193</f>
        <v>361138.53</v>
      </c>
      <c r="H628" s="104">
        <f>SUM(G468)</f>
        <v>361138.53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664</v>
      </c>
      <c r="G629" s="109">
        <f>H193</f>
        <v>550415.69999999995</v>
      </c>
      <c r="H629" s="104">
        <f>SUM(H468)</f>
        <v>550415.70000000007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665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666</v>
      </c>
      <c r="G631" s="109">
        <f>J193</f>
        <v>80000</v>
      </c>
      <c r="H631" s="104">
        <f>SUM(J468)</f>
        <v>80000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395</v>
      </c>
      <c r="G632" s="109">
        <f>SUM(L271)</f>
        <v>12769987.916000001</v>
      </c>
      <c r="H632" s="104">
        <f>SUM(F472)</f>
        <v>12769987.92</v>
      </c>
      <c r="I632" s="140" t="s">
        <v>111</v>
      </c>
      <c r="J632" s="109">
        <f t="shared" si="50"/>
        <v>-3.9999987930059433E-3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396</v>
      </c>
      <c r="G633" s="109">
        <f>SUM(L352)</f>
        <v>544565.9</v>
      </c>
      <c r="H633" s="104">
        <f>SUM(H472)</f>
        <v>544565.89999999991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24.78</v>
      </c>
      <c r="H634" s="104">
        <f>I369</f>
        <v>24.78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7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342781.86999999994</v>
      </c>
      <c r="H635" s="104">
        <f>SUM(G472)</f>
        <v>342781.87</v>
      </c>
      <c r="I635" s="140" t="s">
        <v>114</v>
      </c>
      <c r="J635" s="109">
        <f t="shared" si="50"/>
        <v>0</v>
      </c>
      <c r="K635" s="85"/>
      <c r="L635" s="88"/>
      <c r="M635" s="166"/>
    </row>
    <row r="636" spans="1:13" s="167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6"/>
    </row>
    <row r="637" spans="1:13" s="3" customFormat="1" ht="12" customHeight="1" x14ac:dyDescent="0.15">
      <c r="A637" s="159"/>
      <c r="B637" s="160"/>
      <c r="C637" s="160"/>
      <c r="D637" s="160"/>
      <c r="E637" s="160"/>
      <c r="F637" s="161" t="s">
        <v>478</v>
      </c>
      <c r="G637" s="151">
        <f>SUM(L408)</f>
        <v>80000</v>
      </c>
      <c r="H637" s="162">
        <f>SUM(J468)</f>
        <v>80000</v>
      </c>
      <c r="I637" s="163" t="s">
        <v>110</v>
      </c>
      <c r="J637" s="151">
        <f t="shared" si="50"/>
        <v>0</v>
      </c>
      <c r="K637" s="164"/>
      <c r="L637" s="165"/>
      <c r="M637" s="8"/>
    </row>
    <row r="638" spans="1:13" s="3" customFormat="1" ht="12" customHeight="1" x14ac:dyDescent="0.15">
      <c r="A638" s="159"/>
      <c r="B638" s="160"/>
      <c r="C638" s="160"/>
      <c r="D638" s="160"/>
      <c r="E638" s="160"/>
      <c r="F638" s="161" t="s">
        <v>479</v>
      </c>
      <c r="G638" s="151">
        <f>SUM(L434)</f>
        <v>80000</v>
      </c>
      <c r="H638" s="162">
        <f>SUM(J472)</f>
        <v>80000</v>
      </c>
      <c r="I638" s="163" t="s">
        <v>117</v>
      </c>
      <c r="J638" s="151">
        <f t="shared" si="50"/>
        <v>0</v>
      </c>
      <c r="K638" s="164"/>
      <c r="L638" s="165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0</v>
      </c>
      <c r="H639" s="104">
        <f>SUM(F461)</f>
        <v>0</v>
      </c>
      <c r="I639" s="140" t="s">
        <v>857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80000</v>
      </c>
      <c r="H640" s="104">
        <f>SUM(G461)</f>
        <v>80000</v>
      </c>
      <c r="I640" s="140" t="s">
        <v>858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859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80000</v>
      </c>
      <c r="H642" s="104">
        <f>SUM(I461)</f>
        <v>80000</v>
      </c>
      <c r="I642" s="140" t="s">
        <v>860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480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667</v>
      </c>
      <c r="G644" s="109">
        <f>J96</f>
        <v>0</v>
      </c>
      <c r="H644" s="104">
        <f>H408</f>
        <v>0</v>
      </c>
      <c r="I644" s="140" t="s">
        <v>481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668</v>
      </c>
      <c r="G645" s="109">
        <f>J183</f>
        <v>80000</v>
      </c>
      <c r="H645" s="104">
        <f>G408</f>
        <v>80000</v>
      </c>
      <c r="I645" s="140" t="s">
        <v>482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666</v>
      </c>
      <c r="G646" s="109">
        <f>J193</f>
        <v>80000</v>
      </c>
      <c r="H646" s="104">
        <f>L408</f>
        <v>80000</v>
      </c>
      <c r="I646" s="140" t="s">
        <v>478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508791.32999999996</v>
      </c>
      <c r="H647" s="104">
        <f>L208+L226+L244</f>
        <v>508791.33</v>
      </c>
      <c r="I647" s="140" t="s">
        <v>397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169198.82</v>
      </c>
      <c r="H648" s="104">
        <f>(J257+J338)-(J255+J336)</f>
        <v>169198.82</v>
      </c>
      <c r="I648" s="140" t="s">
        <v>703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388</v>
      </c>
      <c r="G649" s="109">
        <f>L208</f>
        <v>128300.43</v>
      </c>
      <c r="H649" s="104">
        <f>H598</f>
        <v>128300.43</v>
      </c>
      <c r="I649" s="140" t="s">
        <v>389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393</v>
      </c>
      <c r="G650" s="109">
        <f>L226</f>
        <v>204435.73</v>
      </c>
      <c r="H650" s="104">
        <f>I598</f>
        <v>204435.72999999998</v>
      </c>
      <c r="I650" s="140" t="s">
        <v>390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394</v>
      </c>
      <c r="G651" s="109">
        <f>L244</f>
        <v>176055.16999999998</v>
      </c>
      <c r="H651" s="104">
        <f>J598</f>
        <v>176055.17</v>
      </c>
      <c r="I651" s="140" t="s">
        <v>391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669</v>
      </c>
      <c r="G652" s="109">
        <f>G179</f>
        <v>48202.12</v>
      </c>
      <c r="H652" s="104">
        <f>K263+K345</f>
        <v>48202.12</v>
      </c>
      <c r="I652" s="140" t="s">
        <v>398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670</v>
      </c>
      <c r="G653" s="109">
        <f>H179</f>
        <v>0</v>
      </c>
      <c r="H653" s="104">
        <f>K264</f>
        <v>0</v>
      </c>
      <c r="I653" s="140" t="s">
        <v>399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671</v>
      </c>
      <c r="G654" s="109">
        <f>I179</f>
        <v>0</v>
      </c>
      <c r="H654" s="104">
        <f>K265+K346</f>
        <v>0</v>
      </c>
      <c r="I654" s="140" t="s">
        <v>400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672</v>
      </c>
      <c r="G655" s="109">
        <f>J179+J181</f>
        <v>80000</v>
      </c>
      <c r="H655" s="104">
        <f>K266+K347</f>
        <v>80000</v>
      </c>
      <c r="I655" s="140" t="s">
        <v>401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-3.9999969303607941E-3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3385981.9500000007</v>
      </c>
      <c r="G660" s="19">
        <f>(L229+L309+L359)</f>
        <v>4737930.0759999994</v>
      </c>
      <c r="H660" s="19">
        <f>(L247+L328+L360)</f>
        <v>5002951.540000001</v>
      </c>
      <c r="I660" s="19">
        <f>SUM(F660:H660)</f>
        <v>13126863.566000002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40972.243200763805</v>
      </c>
      <c r="G661" s="19">
        <f>(L359/IF(SUM(L358:L360)=0,1,SUM(L358:L360))*(SUM(G97:G110)))</f>
        <v>56913.991685774105</v>
      </c>
      <c r="H661" s="19">
        <f>(L360/IF(SUM(L358:L360)=0,1,SUM(L358:L360))*(SUM(G97:G110)))</f>
        <v>35730.795113462103</v>
      </c>
      <c r="I661" s="19">
        <f>SUM(F661:H661)</f>
        <v>133617.03000000003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128300.43</v>
      </c>
      <c r="G662" s="19">
        <f>(L226+L306)-(J226+J306)</f>
        <v>207355.73</v>
      </c>
      <c r="H662" s="19">
        <f>(L244+L325)-(J244+J325)</f>
        <v>177961.65999999997</v>
      </c>
      <c r="I662" s="19">
        <f>SUM(F662:H662)</f>
        <v>513617.82</v>
      </c>
      <c r="J662"/>
      <c r="K662" s="13"/>
      <c r="L662" s="13"/>
      <c r="M662" s="8"/>
    </row>
    <row r="663" spans="1:13" s="3" customFormat="1" ht="12" customHeight="1" x14ac:dyDescent="0.15">
      <c r="A663" s="196" t="s">
        <v>129</v>
      </c>
      <c r="B663" s="167"/>
      <c r="C663" s="167"/>
      <c r="D663" s="167"/>
      <c r="E663" s="167"/>
      <c r="F663" s="197">
        <f>SUM(F575:F587)+SUM(H602:H604)+SUM(L611)</f>
        <v>168933.53000000003</v>
      </c>
      <c r="G663" s="197">
        <f>SUM(G575:G587)+SUM(I602:I604)+L612</f>
        <v>394281.29</v>
      </c>
      <c r="H663" s="197">
        <f>SUM(H575:H587)+SUM(J602:J604)+L613</f>
        <v>646314.31999999995</v>
      </c>
      <c r="I663" s="19">
        <f>SUM(F663:H663)</f>
        <v>1209529.1400000001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3047775.7467992371</v>
      </c>
      <c r="G664" s="19">
        <f>G660-SUM(G661:G663)</f>
        <v>4079379.0643142252</v>
      </c>
      <c r="H664" s="19">
        <f>H660-SUM(H661:H663)</f>
        <v>4142944.764886539</v>
      </c>
      <c r="I664" s="19">
        <f>I660-SUM(I661:I663)</f>
        <v>11270099.576000001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4">
        <v>218.01</v>
      </c>
      <c r="G665" s="245">
        <v>257.38</v>
      </c>
      <c r="H665" s="245">
        <v>251.96</v>
      </c>
      <c r="I665" s="19">
        <f>SUM(F665:H665)</f>
        <v>727.35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13979.98</v>
      </c>
      <c r="G667" s="19">
        <f>ROUND(G664/G665,2)</f>
        <v>15849.64</v>
      </c>
      <c r="H667" s="19">
        <f>ROUND(H664/H665,2)</f>
        <v>16442.87</v>
      </c>
      <c r="I667" s="19">
        <f>ROUND(I664/I665,2)</f>
        <v>15494.74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>
        <v>-20.420000000000002</v>
      </c>
      <c r="I670" s="19">
        <f>SUM(F670:H670)</f>
        <v>-20.420000000000002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>
        <f>ROUND((F664+F669)/(F665+F670),2)</f>
        <v>13979.98</v>
      </c>
      <c r="G672" s="19">
        <f>ROUND((G664+G669)/(G665+G670),2)</f>
        <v>15849.64</v>
      </c>
      <c r="H672" s="19">
        <f>ROUND((H664+H669)/(H665+H670),2)</f>
        <v>17893</v>
      </c>
      <c r="I672" s="19">
        <f>ROUND((I664+I669)/(I665+I670),2)</f>
        <v>15942.31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7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2013-2014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0"/>
  </sheetPr>
  <dimension ref="A1:C52"/>
  <sheetViews>
    <sheetView workbookViewId="0">
      <selection activeCell="B39" sqref="B39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0" t="s">
        <v>785</v>
      </c>
      <c r="B1" s="229" t="str">
        <f>'DOE25'!A2</f>
        <v>Haverhill Coop</v>
      </c>
      <c r="C1" s="235" t="s">
        <v>839</v>
      </c>
    </row>
    <row r="2" spans="1:3" x14ac:dyDescent="0.2">
      <c r="A2" s="230"/>
      <c r="B2" s="229"/>
    </row>
    <row r="3" spans="1:3" x14ac:dyDescent="0.2">
      <c r="A3" s="285" t="s">
        <v>784</v>
      </c>
      <c r="B3" s="285"/>
      <c r="C3" s="285"/>
    </row>
    <row r="4" spans="1:3" x14ac:dyDescent="0.2">
      <c r="A4" s="233"/>
      <c r="B4" s="234" t="str">
        <f>'DOE25'!H1</f>
        <v>DOE 25  2013-2014</v>
      </c>
      <c r="C4" s="233"/>
    </row>
    <row r="5" spans="1:3" x14ac:dyDescent="0.2">
      <c r="A5" s="230"/>
      <c r="B5" s="229"/>
    </row>
    <row r="6" spans="1:3" x14ac:dyDescent="0.2">
      <c r="A6" s="224"/>
      <c r="B6" s="284" t="s">
        <v>783</v>
      </c>
      <c r="C6" s="284"/>
    </row>
    <row r="7" spans="1:3" x14ac:dyDescent="0.2">
      <c r="A7" s="236" t="s">
        <v>786</v>
      </c>
      <c r="B7" s="282" t="s">
        <v>782</v>
      </c>
      <c r="C7" s="283"/>
    </row>
    <row r="8" spans="1:3" x14ac:dyDescent="0.2">
      <c r="B8" s="225" t="s">
        <v>54</v>
      </c>
      <c r="C8" s="225" t="s">
        <v>776</v>
      </c>
    </row>
    <row r="9" spans="1:3" x14ac:dyDescent="0.2">
      <c r="A9" s="33" t="s">
        <v>777</v>
      </c>
      <c r="B9" s="226">
        <f>'DOE25'!F197+'DOE25'!F215+'DOE25'!F233+'DOE25'!F276+'DOE25'!F295+'DOE25'!F314</f>
        <v>3129194.71</v>
      </c>
      <c r="C9" s="226">
        <f>'DOE25'!G197+'DOE25'!G215+'DOE25'!G233+'DOE25'!G276+'DOE25'!G295+'DOE25'!G314</f>
        <v>1296770.08</v>
      </c>
    </row>
    <row r="10" spans="1:3" x14ac:dyDescent="0.2">
      <c r="A10" t="s">
        <v>779</v>
      </c>
      <c r="B10" s="237">
        <v>3058559.42</v>
      </c>
      <c r="C10" s="237">
        <v>1275085.8600000001</v>
      </c>
    </row>
    <row r="11" spans="1:3" x14ac:dyDescent="0.2">
      <c r="A11" t="s">
        <v>780</v>
      </c>
      <c r="B11" s="237">
        <v>1017.34</v>
      </c>
      <c r="C11" s="237">
        <v>433.91</v>
      </c>
    </row>
    <row r="12" spans="1:3" x14ac:dyDescent="0.2">
      <c r="A12" t="s">
        <v>781</v>
      </c>
      <c r="B12" s="237">
        <v>69617.95</v>
      </c>
      <c r="C12" s="237">
        <v>29013.31</v>
      </c>
    </row>
    <row r="13" spans="1:3" x14ac:dyDescent="0.2">
      <c r="A13" t="str">
        <f>IF(B9=B13,IF(C9=C13,"Check Total OK","Check Total Error"),"Check Total Error")</f>
        <v>Check Total Error</v>
      </c>
      <c r="B13" s="228">
        <f>SUM(B10:B12)</f>
        <v>3129194.71</v>
      </c>
      <c r="C13" s="228">
        <f>SUM(C10:C12)</f>
        <v>1304533.08</v>
      </c>
    </row>
    <row r="14" spans="1:3" x14ac:dyDescent="0.2">
      <c r="B14" s="227"/>
      <c r="C14" s="227"/>
    </row>
    <row r="15" spans="1:3" x14ac:dyDescent="0.2">
      <c r="B15" s="284" t="s">
        <v>783</v>
      </c>
      <c r="C15" s="284"/>
    </row>
    <row r="16" spans="1:3" x14ac:dyDescent="0.2">
      <c r="A16" s="236" t="s">
        <v>787</v>
      </c>
      <c r="B16" s="282" t="s">
        <v>707</v>
      </c>
      <c r="C16" s="283"/>
    </row>
    <row r="17" spans="1:3" x14ac:dyDescent="0.2">
      <c r="B17" s="225" t="s">
        <v>54</v>
      </c>
      <c r="C17" s="225" t="s">
        <v>776</v>
      </c>
    </row>
    <row r="18" spans="1:3" x14ac:dyDescent="0.2">
      <c r="A18" s="33" t="s">
        <v>777</v>
      </c>
      <c r="B18" s="226">
        <f>'DOE25'!F198+'DOE25'!F216+'DOE25'!F234+'DOE25'!F277+'DOE25'!F296+'DOE25'!F315</f>
        <v>1343889.17</v>
      </c>
      <c r="C18" s="226">
        <f>'DOE25'!G198+'DOE25'!G216+'DOE25'!G234+'DOE25'!G277+'DOE25'!G296+'DOE25'!G315</f>
        <v>662709.06999999995</v>
      </c>
    </row>
    <row r="19" spans="1:3" x14ac:dyDescent="0.2">
      <c r="A19" t="s">
        <v>779</v>
      </c>
      <c r="B19" s="237">
        <v>708067.65</v>
      </c>
      <c r="C19" s="237">
        <v>349167.82</v>
      </c>
    </row>
    <row r="20" spans="1:3" x14ac:dyDescent="0.2">
      <c r="A20" t="s">
        <v>780</v>
      </c>
      <c r="B20" s="237">
        <v>588926.06000000006</v>
      </c>
      <c r="C20" s="237">
        <v>290415.78999999998</v>
      </c>
    </row>
    <row r="21" spans="1:3" x14ac:dyDescent="0.2">
      <c r="A21" t="s">
        <v>781</v>
      </c>
      <c r="B21" s="237">
        <v>46895.46</v>
      </c>
      <c r="C21" s="237">
        <v>23125.46</v>
      </c>
    </row>
    <row r="22" spans="1:3" x14ac:dyDescent="0.2">
      <c r="A22" t="str">
        <f>IF(B18=B22,IF(C18=C22,"Check Total OK","Check Total Error"),"Check Total Error")</f>
        <v>Check Total OK</v>
      </c>
      <c r="B22" s="228">
        <f>SUM(B19:B21)</f>
        <v>1343889.17</v>
      </c>
      <c r="C22" s="228">
        <f>SUM(C19:C21)</f>
        <v>662709.06999999995</v>
      </c>
    </row>
    <row r="23" spans="1:3" x14ac:dyDescent="0.2">
      <c r="B23" s="227"/>
      <c r="C23" s="227"/>
    </row>
    <row r="24" spans="1:3" x14ac:dyDescent="0.2">
      <c r="B24" s="284" t="s">
        <v>783</v>
      </c>
      <c r="C24" s="284"/>
    </row>
    <row r="25" spans="1:3" x14ac:dyDescent="0.2">
      <c r="A25" s="236" t="s">
        <v>788</v>
      </c>
      <c r="B25" s="282" t="s">
        <v>708</v>
      </c>
      <c r="C25" s="283"/>
    </row>
    <row r="26" spans="1:3" x14ac:dyDescent="0.2">
      <c r="B26" s="225" t="s">
        <v>54</v>
      </c>
      <c r="C26" s="225" t="s">
        <v>776</v>
      </c>
    </row>
    <row r="27" spans="1:3" x14ac:dyDescent="0.2">
      <c r="A27" s="33" t="s">
        <v>777</v>
      </c>
      <c r="B27" s="231">
        <f>'DOE25'!F199+'DOE25'!F217+'DOE25'!F235+'DOE25'!F278+'DOE25'!F297+'DOE25'!F316</f>
        <v>0</v>
      </c>
      <c r="C27" s="231">
        <f>'DOE25'!G199+'DOE25'!G217+'DOE25'!G235+'DOE25'!G278+'DOE25'!G297+'DOE25'!G316</f>
        <v>0</v>
      </c>
    </row>
    <row r="28" spans="1:3" x14ac:dyDescent="0.2">
      <c r="A28" t="s">
        <v>779</v>
      </c>
      <c r="B28" s="237"/>
      <c r="C28" s="237"/>
    </row>
    <row r="29" spans="1:3" x14ac:dyDescent="0.2">
      <c r="A29" t="s">
        <v>780</v>
      </c>
      <c r="B29" s="237"/>
      <c r="C29" s="237"/>
    </row>
    <row r="30" spans="1:3" x14ac:dyDescent="0.2">
      <c r="A30" t="s">
        <v>781</v>
      </c>
      <c r="B30" s="237"/>
      <c r="C30" s="237"/>
    </row>
    <row r="31" spans="1:3" x14ac:dyDescent="0.2">
      <c r="A31" t="str">
        <f>IF(B27=B31,IF(C27=C31,"Check Total OK","Check Total Error"),"Check Total Error")</f>
        <v>Check Total OK</v>
      </c>
      <c r="B31" s="228">
        <f>SUM(B28:B30)</f>
        <v>0</v>
      </c>
      <c r="C31" s="228">
        <f>SUM(C28:C30)</f>
        <v>0</v>
      </c>
    </row>
    <row r="33" spans="1:3" x14ac:dyDescent="0.2">
      <c r="B33" s="284" t="s">
        <v>783</v>
      </c>
      <c r="C33" s="284"/>
    </row>
    <row r="34" spans="1:3" x14ac:dyDescent="0.2">
      <c r="A34" s="236" t="s">
        <v>789</v>
      </c>
      <c r="B34" s="282" t="s">
        <v>709</v>
      </c>
      <c r="C34" s="283"/>
    </row>
    <row r="35" spans="1:3" x14ac:dyDescent="0.2">
      <c r="B35" s="225" t="s">
        <v>54</v>
      </c>
      <c r="C35" s="225" t="s">
        <v>776</v>
      </c>
    </row>
    <row r="36" spans="1:3" x14ac:dyDescent="0.2">
      <c r="A36" s="33" t="s">
        <v>777</v>
      </c>
      <c r="B36" s="232">
        <f>'DOE25'!F200+'DOE25'!F218+'DOE25'!F236+'DOE25'!F279+'DOE25'!F298+'DOE25'!F317</f>
        <v>235378.58</v>
      </c>
      <c r="C36" s="232">
        <f>'DOE25'!G200+'DOE25'!G218+'DOE25'!G236+'DOE25'!G279+'DOE25'!G298+'DOE25'!G317</f>
        <v>47351.96</v>
      </c>
    </row>
    <row r="37" spans="1:3" x14ac:dyDescent="0.2">
      <c r="A37" t="s">
        <v>779</v>
      </c>
      <c r="B37" s="237"/>
      <c r="C37" s="237"/>
    </row>
    <row r="38" spans="1:3" x14ac:dyDescent="0.2">
      <c r="A38" t="s">
        <v>780</v>
      </c>
      <c r="B38" s="237">
        <v>235378.58</v>
      </c>
      <c r="C38" s="237">
        <v>47351.96</v>
      </c>
    </row>
    <row r="39" spans="1:3" x14ac:dyDescent="0.2">
      <c r="A39" t="s">
        <v>781</v>
      </c>
      <c r="B39" s="237"/>
      <c r="C39" s="237"/>
    </row>
    <row r="40" spans="1:3" x14ac:dyDescent="0.2">
      <c r="A40" t="str">
        <f>IF(B36=B40,IF(C36=C40,"Check Total OK","Check Total Error"),"Check Total Error")</f>
        <v>Check Total OK</v>
      </c>
      <c r="B40" s="228">
        <f>SUM(B37:B39)</f>
        <v>235378.58</v>
      </c>
      <c r="C40" s="228">
        <f>SUM(C37:C39)</f>
        <v>47351.96</v>
      </c>
    </row>
    <row r="41" spans="1:3" x14ac:dyDescent="0.2">
      <c r="B41" s="227"/>
      <c r="C41" s="227"/>
    </row>
    <row r="42" spans="1:3" x14ac:dyDescent="0.2">
      <c r="A42" s="33" t="s">
        <v>837</v>
      </c>
      <c r="B42" s="227"/>
      <c r="C42" s="227"/>
    </row>
    <row r="43" spans="1:3" x14ac:dyDescent="0.2">
      <c r="A43" t="s">
        <v>841</v>
      </c>
      <c r="B43" s="227"/>
      <c r="C43" s="227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1" t="s">
        <v>778</v>
      </c>
    </row>
    <row r="49" spans="1:1" x14ac:dyDescent="0.2">
      <c r="A49" s="265" t="s">
        <v>844</v>
      </c>
    </row>
    <row r="50" spans="1:1" x14ac:dyDescent="0.2">
      <c r="A50" s="265" t="s">
        <v>838</v>
      </c>
    </row>
    <row r="51" spans="1:1" x14ac:dyDescent="0.2">
      <c r="A51" s="265" t="s">
        <v>845</v>
      </c>
    </row>
    <row r="52" spans="1:1" x14ac:dyDescent="0.2">
      <c r="A52" s="266" t="s">
        <v>840</v>
      </c>
    </row>
  </sheetData>
  <sheetProtection password="A7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FY2013-2014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D9" sqref="D9:E11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84" t="s">
        <v>790</v>
      </c>
      <c r="B1" s="289"/>
      <c r="C1" s="289"/>
      <c r="D1" s="289"/>
      <c r="E1" s="289"/>
      <c r="F1" s="289"/>
      <c r="G1" s="289"/>
      <c r="H1" s="289"/>
      <c r="I1" s="179"/>
    </row>
    <row r="2" spans="1:9" x14ac:dyDescent="0.2">
      <c r="A2" s="33" t="s">
        <v>717</v>
      </c>
      <c r="B2" s="262" t="str">
        <f>'DOE25'!A2</f>
        <v>Haverhill Coop</v>
      </c>
      <c r="C2" s="179"/>
      <c r="D2" s="179" t="s">
        <v>792</v>
      </c>
      <c r="E2" s="179" t="s">
        <v>794</v>
      </c>
      <c r="F2" s="286" t="s">
        <v>821</v>
      </c>
      <c r="G2" s="287"/>
      <c r="H2" s="288"/>
      <c r="I2" s="179"/>
    </row>
    <row r="3" spans="1:9" x14ac:dyDescent="0.2">
      <c r="A3" s="179" t="s">
        <v>94</v>
      </c>
      <c r="B3" s="225" t="s">
        <v>10</v>
      </c>
      <c r="C3" s="179" t="s">
        <v>5</v>
      </c>
      <c r="D3" s="179" t="s">
        <v>793</v>
      </c>
      <c r="E3" s="179" t="s">
        <v>795</v>
      </c>
      <c r="F3" s="238" t="s">
        <v>835</v>
      </c>
      <c r="G3" s="214" t="s">
        <v>59</v>
      </c>
      <c r="H3" s="239" t="s">
        <v>798</v>
      </c>
    </row>
    <row r="4" spans="1:9" x14ac:dyDescent="0.2">
      <c r="A4" s="248" t="s">
        <v>800</v>
      </c>
      <c r="B4" s="248" t="s">
        <v>816</v>
      </c>
      <c r="C4" s="248" t="s">
        <v>791</v>
      </c>
      <c r="D4" s="248" t="s">
        <v>817</v>
      </c>
      <c r="E4" s="248" t="s">
        <v>817</v>
      </c>
      <c r="F4" s="247" t="s">
        <v>797</v>
      </c>
      <c r="G4" s="248" t="s">
        <v>811</v>
      </c>
      <c r="H4" s="249" t="s">
        <v>799</v>
      </c>
    </row>
    <row r="5" spans="1:9" x14ac:dyDescent="0.2">
      <c r="A5" s="32">
        <v>1000</v>
      </c>
      <c r="B5" t="s">
        <v>195</v>
      </c>
      <c r="C5" s="242">
        <f t="shared" ref="C5:C19" si="0">SUM(D5:H5)</f>
        <v>7947550.8600000003</v>
      </c>
      <c r="D5" s="20">
        <f>SUM('DOE25'!L197:L200)+SUM('DOE25'!L215:L218)+SUM('DOE25'!L233:L236)-F5-G5</f>
        <v>7882074.6600000001</v>
      </c>
      <c r="E5" s="240"/>
      <c r="F5" s="252">
        <f>SUM('DOE25'!J197:J200)+SUM('DOE25'!J215:J218)+SUM('DOE25'!J233:J236)</f>
        <v>46901.899999999994</v>
      </c>
      <c r="G5" s="53">
        <f>SUM('DOE25'!K197:K200)+SUM('DOE25'!K215:K218)+SUM('DOE25'!K233:K236)</f>
        <v>18574.300000000003</v>
      </c>
      <c r="H5" s="256"/>
    </row>
    <row r="6" spans="1:9" x14ac:dyDescent="0.2">
      <c r="A6" s="32">
        <v>2100</v>
      </c>
      <c r="B6" t="s">
        <v>801</v>
      </c>
      <c r="C6" s="242">
        <f t="shared" si="0"/>
        <v>1049886.1600000001</v>
      </c>
      <c r="D6" s="20">
        <f>'DOE25'!L202+'DOE25'!L220+'DOE25'!L238-F6-G6</f>
        <v>1044419.8500000002</v>
      </c>
      <c r="E6" s="240"/>
      <c r="F6" s="252">
        <f>'DOE25'!J202+'DOE25'!J220+'DOE25'!J238</f>
        <v>269.99</v>
      </c>
      <c r="G6" s="53">
        <f>'DOE25'!K202+'DOE25'!K220+'DOE25'!K238</f>
        <v>5196.32</v>
      </c>
      <c r="H6" s="256"/>
    </row>
    <row r="7" spans="1:9" x14ac:dyDescent="0.2">
      <c r="A7" s="32">
        <v>2200</v>
      </c>
      <c r="B7" t="s">
        <v>834</v>
      </c>
      <c r="C7" s="242">
        <f t="shared" si="0"/>
        <v>317658.52</v>
      </c>
      <c r="D7" s="20">
        <f>'DOE25'!L203+'DOE25'!L221+'DOE25'!L239-F7-G7</f>
        <v>311944.76</v>
      </c>
      <c r="E7" s="240"/>
      <c r="F7" s="252">
        <f>'DOE25'!J203+'DOE25'!J221+'DOE25'!J239</f>
        <v>5713.76</v>
      </c>
      <c r="G7" s="53">
        <f>'DOE25'!K203+'DOE25'!K221+'DOE25'!K239</f>
        <v>0</v>
      </c>
      <c r="H7" s="256"/>
    </row>
    <row r="8" spans="1:9" x14ac:dyDescent="0.2">
      <c r="A8" s="32">
        <v>2300</v>
      </c>
      <c r="B8" t="s">
        <v>802</v>
      </c>
      <c r="C8" s="242">
        <f t="shared" si="0"/>
        <v>565067.4659999999</v>
      </c>
      <c r="D8" s="240"/>
      <c r="E8" s="20">
        <f>'DOE25'!L204+'DOE25'!L222+'DOE25'!L240-F8-G8-D9-D11</f>
        <v>561290.03599999985</v>
      </c>
      <c r="F8" s="252">
        <f>'DOE25'!J204+'DOE25'!J222+'DOE25'!J240</f>
        <v>0</v>
      </c>
      <c r="G8" s="53">
        <f>'DOE25'!K204+'DOE25'!K222+'DOE25'!K240</f>
        <v>3777.4299999999994</v>
      </c>
      <c r="H8" s="256"/>
    </row>
    <row r="9" spans="1:9" x14ac:dyDescent="0.2">
      <c r="A9" s="32">
        <v>2310</v>
      </c>
      <c r="B9" t="s">
        <v>818</v>
      </c>
      <c r="C9" s="242">
        <f t="shared" si="0"/>
        <v>33522.6</v>
      </c>
      <c r="D9" s="241">
        <v>33522.6</v>
      </c>
      <c r="E9" s="240"/>
      <c r="F9" s="255"/>
      <c r="G9" s="253"/>
      <c r="H9" s="256"/>
    </row>
    <row r="10" spans="1:9" x14ac:dyDescent="0.2">
      <c r="A10" s="32">
        <v>2317</v>
      </c>
      <c r="B10" t="s">
        <v>819</v>
      </c>
      <c r="C10" s="242">
        <f t="shared" si="0"/>
        <v>16000</v>
      </c>
      <c r="D10" s="240"/>
      <c r="E10" s="241">
        <v>16000</v>
      </c>
      <c r="F10" s="255"/>
      <c r="G10" s="253"/>
      <c r="H10" s="256"/>
    </row>
    <row r="11" spans="1:9" x14ac:dyDescent="0.2">
      <c r="A11" s="32">
        <v>2321</v>
      </c>
      <c r="B11" t="s">
        <v>831</v>
      </c>
      <c r="C11" s="242">
        <f t="shared" si="0"/>
        <v>31332.309999999998</v>
      </c>
      <c r="D11" s="241">
        <f>219.53+1488.63+1065.23+15939.52+12619.4</f>
        <v>31332.309999999998</v>
      </c>
      <c r="E11" s="240"/>
      <c r="F11" s="255"/>
      <c r="G11" s="253"/>
      <c r="H11" s="256"/>
    </row>
    <row r="12" spans="1:9" x14ac:dyDescent="0.2">
      <c r="A12" s="32">
        <v>2400</v>
      </c>
      <c r="B12" t="s">
        <v>715</v>
      </c>
      <c r="C12" s="242">
        <f t="shared" si="0"/>
        <v>764795.39</v>
      </c>
      <c r="D12" s="20">
        <f>'DOE25'!L205+'DOE25'!L223+'DOE25'!L241-F12-G12</f>
        <v>761923.41</v>
      </c>
      <c r="E12" s="240"/>
      <c r="F12" s="252">
        <f>'DOE25'!J205+'DOE25'!J223+'DOE25'!J241</f>
        <v>289.98</v>
      </c>
      <c r="G12" s="53">
        <f>'DOE25'!K205+'DOE25'!K223+'DOE25'!K241</f>
        <v>2582</v>
      </c>
      <c r="H12" s="256"/>
    </row>
    <row r="13" spans="1:9" x14ac:dyDescent="0.2">
      <c r="A13" s="32">
        <v>2500</v>
      </c>
      <c r="B13" t="s">
        <v>803</v>
      </c>
      <c r="C13" s="242">
        <f t="shared" si="0"/>
        <v>0</v>
      </c>
      <c r="D13" s="240"/>
      <c r="E13" s="20">
        <f>'DOE25'!L206+'DOE25'!L224+'DOE25'!L242-F13-G13</f>
        <v>0</v>
      </c>
      <c r="F13" s="252">
        <f>'DOE25'!J206+'DOE25'!J224+'DOE25'!J242</f>
        <v>0</v>
      </c>
      <c r="G13" s="53">
        <f>'DOE25'!K206+'DOE25'!K224+'DOE25'!K242</f>
        <v>0</v>
      </c>
      <c r="H13" s="256"/>
    </row>
    <row r="14" spans="1:9" x14ac:dyDescent="0.2">
      <c r="A14" s="32">
        <v>2600</v>
      </c>
      <c r="B14" t="s">
        <v>832</v>
      </c>
      <c r="C14" s="242">
        <f t="shared" si="0"/>
        <v>898753.39</v>
      </c>
      <c r="D14" s="20">
        <f>'DOE25'!L207+'DOE25'!L225+'DOE25'!L243-F14-G14</f>
        <v>871979.04</v>
      </c>
      <c r="E14" s="240"/>
      <c r="F14" s="252">
        <f>'DOE25'!J207+'DOE25'!J225+'DOE25'!J243</f>
        <v>26774.35</v>
      </c>
      <c r="G14" s="53">
        <f>'DOE25'!K207+'DOE25'!K225+'DOE25'!K243</f>
        <v>0</v>
      </c>
      <c r="H14" s="256"/>
    </row>
    <row r="15" spans="1:9" x14ac:dyDescent="0.2">
      <c r="A15" s="32">
        <v>2700</v>
      </c>
      <c r="B15" t="s">
        <v>804</v>
      </c>
      <c r="C15" s="242">
        <f t="shared" si="0"/>
        <v>508791.33</v>
      </c>
      <c r="D15" s="20">
        <f>'DOE25'!L208+'DOE25'!L226+'DOE25'!L244-F15-G15</f>
        <v>508787.33</v>
      </c>
      <c r="E15" s="240"/>
      <c r="F15" s="252">
        <f>'DOE25'!J208+'DOE25'!J226+'DOE25'!J244</f>
        <v>0</v>
      </c>
      <c r="G15" s="53">
        <f>'DOE25'!K208+'DOE25'!K226+'DOE25'!K244</f>
        <v>4</v>
      </c>
      <c r="H15" s="256"/>
    </row>
    <row r="16" spans="1:9" x14ac:dyDescent="0.2">
      <c r="A16" s="32">
        <v>2800</v>
      </c>
      <c r="B16" t="s">
        <v>805</v>
      </c>
      <c r="C16" s="242">
        <f t="shared" si="0"/>
        <v>122157.77</v>
      </c>
      <c r="D16" s="240"/>
      <c r="E16" s="20">
        <f>'DOE25'!L209+'DOE25'!L227+'DOE25'!L245-F16-G16</f>
        <v>105177.24</v>
      </c>
      <c r="F16" s="252">
        <f>'DOE25'!J209+'DOE25'!J227+'DOE25'!J245</f>
        <v>16980.53</v>
      </c>
      <c r="G16" s="53">
        <f>'DOE25'!K209+'DOE25'!K227+'DOE25'!K245</f>
        <v>0</v>
      </c>
      <c r="H16" s="256"/>
    </row>
    <row r="17" spans="1:8" x14ac:dyDescent="0.2">
      <c r="A17" s="32">
        <v>1600</v>
      </c>
      <c r="B17" t="s">
        <v>806</v>
      </c>
      <c r="C17" s="242">
        <f t="shared" si="0"/>
        <v>0</v>
      </c>
      <c r="D17" s="20">
        <f>'DOE25'!L251-F17-G17</f>
        <v>0</v>
      </c>
      <c r="E17" s="240"/>
      <c r="F17" s="252">
        <f>'DOE25'!J251</f>
        <v>0</v>
      </c>
      <c r="G17" s="53">
        <f>'DOE25'!K251</f>
        <v>0</v>
      </c>
      <c r="H17" s="256"/>
    </row>
    <row r="18" spans="1:8" x14ac:dyDescent="0.2">
      <c r="A18" s="32">
        <v>1700</v>
      </c>
      <c r="B18" t="s">
        <v>807</v>
      </c>
      <c r="C18" s="242">
        <f t="shared" si="0"/>
        <v>0</v>
      </c>
      <c r="D18" s="20">
        <f>'DOE25'!L252-F18-G18</f>
        <v>0</v>
      </c>
      <c r="E18" s="240"/>
      <c r="F18" s="252">
        <f>'DOE25'!J252</f>
        <v>0</v>
      </c>
      <c r="G18" s="53">
        <f>'DOE25'!K252</f>
        <v>0</v>
      </c>
      <c r="H18" s="256"/>
    </row>
    <row r="19" spans="1:8" x14ac:dyDescent="0.2">
      <c r="A19" s="32">
        <v>1800</v>
      </c>
      <c r="B19" t="s">
        <v>808</v>
      </c>
      <c r="C19" s="242">
        <f t="shared" si="0"/>
        <v>44972.630000000005</v>
      </c>
      <c r="D19" s="20">
        <f>'DOE25'!L253-F19-G19</f>
        <v>29972.630000000005</v>
      </c>
      <c r="E19" s="240"/>
      <c r="F19" s="252">
        <f>'DOE25'!J253</f>
        <v>15000</v>
      </c>
      <c r="G19" s="53">
        <f>'DOE25'!K253</f>
        <v>0</v>
      </c>
      <c r="H19" s="256"/>
    </row>
    <row r="20" spans="1:8" x14ac:dyDescent="0.2">
      <c r="F20" s="257"/>
      <c r="G20" s="52"/>
      <c r="H20" s="258"/>
    </row>
    <row r="21" spans="1:8" x14ac:dyDescent="0.2">
      <c r="B21" s="33" t="s">
        <v>796</v>
      </c>
      <c r="F21" s="257"/>
      <c r="G21" s="52"/>
      <c r="H21" s="258"/>
    </row>
    <row r="22" spans="1:8" x14ac:dyDescent="0.2">
      <c r="A22" s="32">
        <v>4000</v>
      </c>
      <c r="B22" t="s">
        <v>833</v>
      </c>
      <c r="C22" s="242">
        <f>SUM(D22:H22)</f>
        <v>0</v>
      </c>
      <c r="D22" s="240"/>
      <c r="E22" s="240"/>
      <c r="F22" s="252">
        <f>'DOE25'!L255+'DOE25'!L336</f>
        <v>0</v>
      </c>
      <c r="G22" s="253"/>
      <c r="H22" s="256"/>
    </row>
    <row r="23" spans="1:8" x14ac:dyDescent="0.2">
      <c r="A23" s="32"/>
      <c r="F23" s="257"/>
      <c r="G23" s="52"/>
      <c r="H23" s="258"/>
    </row>
    <row r="24" spans="1:8" x14ac:dyDescent="0.2">
      <c r="A24" s="32"/>
      <c r="B24" s="33" t="s">
        <v>464</v>
      </c>
      <c r="F24" s="257"/>
      <c r="G24" s="52"/>
      <c r="H24" s="258"/>
    </row>
    <row r="25" spans="1:8" x14ac:dyDescent="0.2">
      <c r="A25" s="32" t="s">
        <v>809</v>
      </c>
      <c r="B25" t="s">
        <v>810</v>
      </c>
      <c r="C25" s="242">
        <f>SUM(D25:H25)</f>
        <v>346179.37</v>
      </c>
      <c r="D25" s="240"/>
      <c r="E25" s="240"/>
      <c r="F25" s="255"/>
      <c r="G25" s="253"/>
      <c r="H25" s="254">
        <f>'DOE25'!L260+'DOE25'!L261+'DOE25'!L341+'DOE25'!L342</f>
        <v>346179.37</v>
      </c>
    </row>
    <row r="26" spans="1:8" x14ac:dyDescent="0.2">
      <c r="A26" s="32"/>
      <c r="F26" s="257"/>
      <c r="G26" s="52"/>
      <c r="H26" s="258"/>
    </row>
    <row r="27" spans="1:8" x14ac:dyDescent="0.2">
      <c r="A27" s="32"/>
      <c r="B27" s="33" t="s">
        <v>812</v>
      </c>
      <c r="F27" s="257"/>
      <c r="G27" s="52"/>
      <c r="H27" s="258"/>
    </row>
    <row r="28" spans="1:8" x14ac:dyDescent="0.2">
      <c r="A28" s="32">
        <v>3100</v>
      </c>
      <c r="B28" t="s">
        <v>825</v>
      </c>
      <c r="F28" s="257"/>
      <c r="G28" s="52"/>
      <c r="H28" s="258"/>
    </row>
    <row r="29" spans="1:8" x14ac:dyDescent="0.2">
      <c r="A29" s="32"/>
      <c r="B29" t="s">
        <v>813</v>
      </c>
      <c r="C29" s="242">
        <f>SUM(D29:H29)</f>
        <v>342781.86999999994</v>
      </c>
      <c r="D29" s="20">
        <f>'DOE25'!L358+'DOE25'!L359+'DOE25'!L360-'DOE25'!I367-F29-G29</f>
        <v>338220.87999999995</v>
      </c>
      <c r="E29" s="240"/>
      <c r="F29" s="252">
        <f>'DOE25'!J358+'DOE25'!J359+'DOE25'!J360</f>
        <v>4560.99</v>
      </c>
      <c r="G29" s="53">
        <f>'DOE25'!K358+'DOE25'!K359+'DOE25'!K360</f>
        <v>0</v>
      </c>
      <c r="H29" s="256"/>
    </row>
    <row r="30" spans="1:8" x14ac:dyDescent="0.2">
      <c r="A30" s="32"/>
      <c r="D30" s="20"/>
      <c r="E30" s="240"/>
      <c r="F30" s="252"/>
      <c r="G30" s="53"/>
      <c r="H30" s="256"/>
    </row>
    <row r="31" spans="1:8" x14ac:dyDescent="0.2">
      <c r="A31" s="32" t="s">
        <v>827</v>
      </c>
      <c r="B31" t="s">
        <v>826</v>
      </c>
      <c r="C31" s="242">
        <f>SUM(D31:H31)</f>
        <v>544565.9</v>
      </c>
      <c r="D31" s="20">
        <f>'DOE25'!L290+'DOE25'!L309+'DOE25'!L328+'DOE25'!L333+'DOE25'!L334+'DOE25'!L335-F31-G31</f>
        <v>479843.09</v>
      </c>
      <c r="E31" s="240"/>
      <c r="F31" s="252">
        <f>'DOE25'!J290+'DOE25'!J309+'DOE25'!J328+'DOE25'!J333+'DOE25'!J334+'DOE25'!J335</f>
        <v>57268.31</v>
      </c>
      <c r="G31" s="53">
        <f>'DOE25'!K290+'DOE25'!K309+'DOE25'!K328+'DOE25'!K333+'DOE25'!K334+'DOE25'!K335</f>
        <v>7454.5</v>
      </c>
      <c r="H31" s="256"/>
    </row>
    <row r="32" spans="1:8" ht="12" thickBot="1" x14ac:dyDescent="0.25">
      <c r="F32" s="259"/>
      <c r="G32" s="250"/>
      <c r="H32" s="260"/>
    </row>
    <row r="33" spans="2:8" ht="12" thickTop="1" x14ac:dyDescent="0.2">
      <c r="B33" t="s">
        <v>814</v>
      </c>
      <c r="D33" s="243">
        <f>SUM(D5:D31)</f>
        <v>12294020.560000001</v>
      </c>
      <c r="E33" s="243">
        <f>SUM(E5:E31)</f>
        <v>682467.27599999984</v>
      </c>
      <c r="F33" s="243">
        <f>SUM(F5:F31)</f>
        <v>173759.81</v>
      </c>
      <c r="G33" s="243">
        <f>SUM(G5:G31)</f>
        <v>37588.550000000003</v>
      </c>
      <c r="H33" s="243">
        <f>SUM(H5:H31)</f>
        <v>346179.37</v>
      </c>
    </row>
    <row r="35" spans="2:8" ht="12" thickBot="1" x14ac:dyDescent="0.25">
      <c r="B35" s="250" t="s">
        <v>847</v>
      </c>
      <c r="D35" s="251">
        <f>E33</f>
        <v>682467.27599999984</v>
      </c>
      <c r="E35" s="246"/>
    </row>
    <row r="36" spans="2:8" ht="12" thickTop="1" x14ac:dyDescent="0.2">
      <c r="B36" t="s">
        <v>815</v>
      </c>
      <c r="D36" s="20">
        <f>D33</f>
        <v>12294020.560000001</v>
      </c>
    </row>
    <row r="38" spans="2:8" x14ac:dyDescent="0.2">
      <c r="B38" s="185" t="s">
        <v>895</v>
      </c>
      <c r="C38" s="263"/>
      <c r="D38" s="264"/>
    </row>
    <row r="39" spans="2:8" x14ac:dyDescent="0.2">
      <c r="B39" t="s">
        <v>824</v>
      </c>
      <c r="D39" s="179" t="str">
        <f>IF(E10&gt;0,"Y","N")</f>
        <v>Y</v>
      </c>
    </row>
    <row r="41" spans="2:8" x14ac:dyDescent="0.2">
      <c r="B41" s="261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>
    <tabColor indexed="10"/>
  </sheetPr>
  <dimension ref="A1:I164"/>
  <sheetViews>
    <sheetView zoomScale="80" zoomScaleNormal="80" workbookViewId="0">
      <pane ySplit="2" topLeftCell="A62" activePane="bottomLeft" state="frozen"/>
      <selection activeCell="F46" sqref="F46"/>
      <selection pane="bottomLeft" activeCell="C76" sqref="C76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Haverhill Coop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15995.68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80000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0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447300.99</v>
      </c>
      <c r="D12" s="95">
        <f>'DOE25'!G13</f>
        <v>29316.33</v>
      </c>
      <c r="E12" s="95">
        <f>'DOE25'!H13</f>
        <v>105995.42</v>
      </c>
      <c r="F12" s="95">
        <f>'DOE25'!I13</f>
        <v>4563.46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7933.11</v>
      </c>
      <c r="D13" s="95">
        <f>'DOE25'!G14</f>
        <v>18571.89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5613.95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3129.58</v>
      </c>
      <c r="D17" s="95">
        <f>'DOE25'!G18</f>
        <v>0</v>
      </c>
      <c r="E17" s="95">
        <f>'DOE25'!H18</f>
        <v>6250.1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479973.31</v>
      </c>
      <c r="D18" s="41">
        <f>SUM(D8:D17)</f>
        <v>47888.22</v>
      </c>
      <c r="E18" s="41">
        <f>SUM(E8:E17)</f>
        <v>112245.52</v>
      </c>
      <c r="F18" s="41">
        <f>SUM(F8:F17)</f>
        <v>4563.46</v>
      </c>
      <c r="G18" s="41">
        <f>SUM(G8:G17)</f>
        <v>80000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106862.1</v>
      </c>
      <c r="D21" s="95">
        <f>'DOE25'!G22</f>
        <v>29530.31</v>
      </c>
      <c r="E21" s="95">
        <f>'DOE25'!H22</f>
        <v>86905.35</v>
      </c>
      <c r="F21" s="95">
        <f>'DOE25'!I22</f>
        <v>3323.46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80000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109447.65</v>
      </c>
      <c r="D23" s="95">
        <f>'DOE25'!G24</f>
        <v>1.25</v>
      </c>
      <c r="E23" s="95">
        <f>'DOE25'!H24</f>
        <v>19.329999999999998</v>
      </c>
      <c r="F23" s="95">
        <f>'DOE25'!I24</f>
        <v>1240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687.35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1406.22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19471.04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218403.32</v>
      </c>
      <c r="D31" s="41">
        <f>SUM(D21:D30)</f>
        <v>29531.56</v>
      </c>
      <c r="E31" s="41">
        <f>SUM(E21:E30)</f>
        <v>106395.72</v>
      </c>
      <c r="F31" s="41">
        <f>SUM(F21:F30)</f>
        <v>4563.46</v>
      </c>
      <c r="G31" s="41">
        <f>SUM(G21:G30)</f>
        <v>80000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18356.66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75000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905</v>
      </c>
      <c r="B45" s="6"/>
      <c r="C45" s="95">
        <f>'DOE25'!F46</f>
        <v>0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4"/>
      <c r="I46" s="124"/>
    </row>
    <row r="47" spans="1:9" x14ac:dyDescent="0.2">
      <c r="A47" s="1" t="s">
        <v>906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5849.8</v>
      </c>
      <c r="F47" s="95">
        <f>'DOE25'!I48</f>
        <v>0</v>
      </c>
      <c r="G47" s="95">
        <f>'DOE25'!J48</f>
        <v>0</v>
      </c>
      <c r="H47" s="124"/>
      <c r="I47" s="124"/>
    </row>
    <row r="48" spans="1:9" x14ac:dyDescent="0.2">
      <c r="A48" s="1" t="s">
        <v>907</v>
      </c>
      <c r="B48" s="6">
        <v>753</v>
      </c>
      <c r="C48" s="95">
        <f>'DOE25'!F49</f>
        <v>39846.660000000003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908</v>
      </c>
      <c r="B49" s="71">
        <v>770</v>
      </c>
      <c r="C49" s="95">
        <f>'DOE25'!F50</f>
        <v>146723.32999999999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4"/>
      <c r="I49" s="124"/>
    </row>
    <row r="50" spans="1:9" ht="12.75" thickTop="1" thickBot="1" x14ac:dyDescent="0.25">
      <c r="A50" s="38" t="s">
        <v>909</v>
      </c>
      <c r="B50" s="48"/>
      <c r="C50" s="41">
        <f>SUM(C34:C49)</f>
        <v>261569.99</v>
      </c>
      <c r="D50" s="41">
        <f>SUM(D34:D49)</f>
        <v>18356.66</v>
      </c>
      <c r="E50" s="41">
        <f>SUM(E34:E49)</f>
        <v>5849.8</v>
      </c>
      <c r="F50" s="41">
        <f>SUM(F34:F49)</f>
        <v>0</v>
      </c>
      <c r="G50" s="41">
        <f>SUM(G34:G49)</f>
        <v>0</v>
      </c>
      <c r="H50" s="124"/>
      <c r="I50" s="124"/>
    </row>
    <row r="51" spans="1:9" ht="12" thickTop="1" x14ac:dyDescent="0.2">
      <c r="A51" s="38" t="s">
        <v>910</v>
      </c>
      <c r="B51" s="2"/>
      <c r="C51" s="41">
        <f>C50+C31</f>
        <v>479973.31</v>
      </c>
      <c r="D51" s="41">
        <f>D50+D31</f>
        <v>47888.22</v>
      </c>
      <c r="E51" s="41">
        <f>E50+E31</f>
        <v>112245.52</v>
      </c>
      <c r="F51" s="41">
        <f>F50+F31</f>
        <v>4563.46</v>
      </c>
      <c r="G51" s="41">
        <f>G50+G31</f>
        <v>80000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8" t="s">
        <v>161</v>
      </c>
      <c r="B55" s="127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5636348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1333057.0899999999</v>
      </c>
      <c r="D57" s="24" t="s">
        <v>289</v>
      </c>
      <c r="E57" s="95">
        <f>'DOE25'!H79</f>
        <v>0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289</v>
      </c>
      <c r="E58" s="95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30391.74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0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289</v>
      </c>
      <c r="D60" s="95">
        <f>'DOE25'!G97</f>
        <v>127383.5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151152.68</v>
      </c>
      <c r="D61" s="95">
        <f>SUM('DOE25'!G98:G110)</f>
        <v>6233.53</v>
      </c>
      <c r="E61" s="95">
        <f>SUM('DOE25'!H98:H110)</f>
        <v>79106.86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1514601.5099999998</v>
      </c>
      <c r="D62" s="130">
        <f>SUM(D57:D61)</f>
        <v>133617.03</v>
      </c>
      <c r="E62" s="130">
        <f>SUM(E57:E61)</f>
        <v>79106.86</v>
      </c>
      <c r="F62" s="130">
        <f>SUM(F57:F61)</f>
        <v>0</v>
      </c>
      <c r="G62" s="130">
        <f>SUM(G57:G61)</f>
        <v>0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7150949.5099999998</v>
      </c>
      <c r="D63" s="22">
        <f>D56+D62</f>
        <v>133617.03</v>
      </c>
      <c r="E63" s="22">
        <f>E56+E62</f>
        <v>79106.86</v>
      </c>
      <c r="F63" s="22">
        <f>F56+F62</f>
        <v>0</v>
      </c>
      <c r="G63" s="22">
        <f>G56+G62</f>
        <v>0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5">
        <f>'DOE25'!F117</f>
        <v>4018022.79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5">
        <f>'DOE25'!F118</f>
        <v>833263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4851285.79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207512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289</v>
      </c>
      <c r="E73" s="24" t="s">
        <v>289</v>
      </c>
      <c r="F73" s="95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106375.01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305817.08</v>
      </c>
      <c r="D76" s="24" t="s">
        <v>289</v>
      </c>
      <c r="E76" s="95">
        <f>SUM('DOE25'!H127:H130)</f>
        <v>0</v>
      </c>
      <c r="F76" s="95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200</v>
      </c>
      <c r="D77" s="95">
        <f>SUM('DOE25'!G131:G135)</f>
        <v>3763.1099999999997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619904.09000000008</v>
      </c>
      <c r="D78" s="130">
        <f>SUM(D72:D77)</f>
        <v>3763.1099999999997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5">
        <f>'DOE25'!F138</f>
        <v>0</v>
      </c>
      <c r="D80" s="24" t="s">
        <v>289</v>
      </c>
      <c r="E80" s="95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30">
        <f>SUM(C79:C80)+C78+C70</f>
        <v>5471189.8799999999</v>
      </c>
      <c r="D81" s="130">
        <f>SUM(D79:D80)+D78+D70</f>
        <v>3763.1099999999997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8" t="s">
        <v>181</v>
      </c>
      <c r="B84" s="127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5">
        <f>SUM('DOE25'!F149:F152)</f>
        <v>0</v>
      </c>
      <c r="D87" s="24" t="s">
        <v>289</v>
      </c>
      <c r="E87" s="95">
        <f>SUM('DOE25'!H149:H152)</f>
        <v>0</v>
      </c>
      <c r="F87" s="95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5">
        <f>SUM('DOE25'!F153:F161)</f>
        <v>352526.28</v>
      </c>
      <c r="D88" s="95">
        <f>SUM('DOE25'!G153:G161)</f>
        <v>175556.27000000002</v>
      </c>
      <c r="E88" s="95">
        <f>SUM('DOE25'!H153:H161)</f>
        <v>471308.83999999997</v>
      </c>
      <c r="F88" s="95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5">
        <f>'DOE25'!F165</f>
        <v>1892.24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1">
        <f>SUM(C85:C90)</f>
        <v>354418.52</v>
      </c>
      <c r="D91" s="131">
        <f>SUM(D85:D90)</f>
        <v>175556.27000000002</v>
      </c>
      <c r="E91" s="131">
        <f>SUM(E85:E90)</f>
        <v>471308.83999999997</v>
      </c>
      <c r="F91" s="131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5">
        <f>SUM('DOE25'!F173:F175)</f>
        <v>0</v>
      </c>
      <c r="D93" s="24" t="s">
        <v>289</v>
      </c>
      <c r="E93" s="24" t="s">
        <v>289</v>
      </c>
      <c r="F93" s="95">
        <f>SUM('DOE25'!I173:I175)</f>
        <v>0</v>
      </c>
      <c r="G93" s="24" t="s">
        <v>289</v>
      </c>
    </row>
    <row r="94" spans="1:9" x14ac:dyDescent="0.2">
      <c r="A94" t="s">
        <v>756</v>
      </c>
      <c r="B94" s="32">
        <v>5140</v>
      </c>
      <c r="C94" s="95">
        <f>'DOE25'!F176</f>
        <v>0</v>
      </c>
      <c r="D94" s="24" t="s">
        <v>289</v>
      </c>
      <c r="E94" s="24" t="s">
        <v>289</v>
      </c>
      <c r="F94" s="95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5">
        <f>'DOE25'!G179</f>
        <v>48202.12</v>
      </c>
      <c r="E96" s="95">
        <f>'DOE25'!H179</f>
        <v>0</v>
      </c>
      <c r="F96" s="95">
        <f>'DOE25'!I179</f>
        <v>0</v>
      </c>
      <c r="G96" s="95">
        <f>'DOE25'!J179</f>
        <v>80000</v>
      </c>
    </row>
    <row r="97" spans="1:7" x14ac:dyDescent="0.2">
      <c r="A97" t="s">
        <v>758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759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289</v>
      </c>
      <c r="G98" s="95">
        <f>'DOE25'!J182</f>
        <v>0</v>
      </c>
    </row>
    <row r="99" spans="1:7" x14ac:dyDescent="0.2">
      <c r="A99" t="s">
        <v>760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5">
        <f>SUM('DOE25'!F186:F187)</f>
        <v>55000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6">
        <f>SUM(C93:C102)</f>
        <v>55000</v>
      </c>
      <c r="D103" s="86">
        <f>SUM(D93:D102)</f>
        <v>48202.12</v>
      </c>
      <c r="E103" s="86">
        <f>SUM(E93:E102)</f>
        <v>0</v>
      </c>
      <c r="F103" s="86">
        <f>SUM(F93:F102)</f>
        <v>0</v>
      </c>
      <c r="G103" s="86">
        <f>SUM(G93:G102)</f>
        <v>80000</v>
      </c>
    </row>
    <row r="104" spans="1:7" ht="12.75" thickTop="1" thickBot="1" x14ac:dyDescent="0.25">
      <c r="A104" s="33" t="s">
        <v>765</v>
      </c>
      <c r="C104" s="86">
        <f>C63+C81+C91+C103</f>
        <v>13031557.91</v>
      </c>
      <c r="D104" s="86">
        <f>D63+D81+D91+D103</f>
        <v>361138.53</v>
      </c>
      <c r="E104" s="86">
        <f>E63+E81+E91+E103</f>
        <v>550415.69999999995</v>
      </c>
      <c r="F104" s="86">
        <f>F63+F81+F91+F103</f>
        <v>0</v>
      </c>
      <c r="G104" s="86">
        <f>G63+G81+G103</f>
        <v>80000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8" t="s">
        <v>195</v>
      </c>
      <c r="B108" s="127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4644798.01</v>
      </c>
      <c r="D109" s="24" t="s">
        <v>289</v>
      </c>
      <c r="E109" s="95">
        <f>('DOE25'!L276)+('DOE25'!L295)+('DOE25'!L314)</f>
        <v>81631.600000000006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2728241.57</v>
      </c>
      <c r="D110" s="24" t="s">
        <v>289</v>
      </c>
      <c r="E110" s="95">
        <f>('DOE25'!L277)+('DOE25'!L296)+('DOE25'!L315)</f>
        <v>260365.39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298983.67999999999</v>
      </c>
      <c r="D111" s="24" t="s">
        <v>289</v>
      </c>
      <c r="E111" s="95">
        <f>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275527.59999999998</v>
      </c>
      <c r="D112" s="24" t="s">
        <v>289</v>
      </c>
      <c r="E112" s="95">
        <f>+('DOE25'!L279)+('DOE25'!L298)+('DOE25'!L317)</f>
        <v>111345.60000000002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289</v>
      </c>
      <c r="E113" s="95">
        <f>+'DOE25'!L332</f>
        <v>0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44972.630000000005</v>
      </c>
      <c r="D114" s="24" t="s">
        <v>289</v>
      </c>
      <c r="E114" s="95">
        <f>+ SUM('DOE25'!L333:L335)</f>
        <v>0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6">
        <f>SUM(C109:C114)</f>
        <v>7992523.4899999993</v>
      </c>
      <c r="D115" s="86">
        <f>SUM(D109:D114)</f>
        <v>0</v>
      </c>
      <c r="E115" s="86">
        <f>SUM(E109:E114)</f>
        <v>453342.59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1049886.1600000001</v>
      </c>
      <c r="D118" s="24" t="s">
        <v>289</v>
      </c>
      <c r="E118" s="95">
        <f>+('DOE25'!L281)+('DOE25'!L300)+('DOE25'!L319)</f>
        <v>8852.67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317658.52</v>
      </c>
      <c r="D119" s="24" t="s">
        <v>289</v>
      </c>
      <c r="E119" s="95">
        <f>+('DOE25'!L282)+('DOE25'!L301)+('DOE25'!L320)</f>
        <v>22325.75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629922.37599999993</v>
      </c>
      <c r="D120" s="24" t="s">
        <v>289</v>
      </c>
      <c r="E120" s="95">
        <f>+('DOE25'!L283)+('DOE25'!L302)+('DOE25'!L321)</f>
        <v>5277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764795.39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898753.39</v>
      </c>
      <c r="D123" s="24" t="s">
        <v>289</v>
      </c>
      <c r="E123" s="95">
        <f>+('DOE25'!L286)+('DOE25'!L305)+('DOE25'!L324)</f>
        <v>49941.4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508791.33</v>
      </c>
      <c r="D124" s="24" t="s">
        <v>289</v>
      </c>
      <c r="E124" s="95">
        <f>+('DOE25'!L287)+('DOE25'!L306)+('DOE25'!L325)</f>
        <v>4826.49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122157.77</v>
      </c>
      <c r="D125" s="24" t="s">
        <v>289</v>
      </c>
      <c r="E125" s="95">
        <f>+('DOE25'!L288)+('DOE25'!L307)+('DOE25'!L326)</f>
        <v>0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5">
        <f>('DOE25'!L358)+('DOE25'!L359)+('DOE25'!L360)</f>
        <v>342781.86999999994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6">
        <f>SUM(C118:C127)</f>
        <v>4291964.9359999998</v>
      </c>
      <c r="D128" s="86">
        <f>SUM(D118:D127)</f>
        <v>342781.86999999994</v>
      </c>
      <c r="E128" s="86">
        <f>SUM(E118:E127)</f>
        <v>91223.310000000012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289</v>
      </c>
      <c r="E130" s="129">
        <f>'DOE25'!L336</f>
        <v>0</v>
      </c>
      <c r="F130" s="129">
        <f>SUM('DOE25'!L374:'DOE25'!L380)</f>
        <v>0</v>
      </c>
      <c r="G130" s="24" t="s">
        <v>289</v>
      </c>
    </row>
    <row r="131" spans="1:7" x14ac:dyDescent="0.2">
      <c r="A131" t="s">
        <v>229</v>
      </c>
      <c r="B131" s="32">
        <v>5110</v>
      </c>
      <c r="C131" s="95">
        <f>'DOE25'!L260</f>
        <v>328523.69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5">
        <f>'DOE25'!L261</f>
        <v>17655.68</v>
      </c>
      <c r="D132" s="24" t="s">
        <v>289</v>
      </c>
      <c r="E132" s="129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80000</v>
      </c>
    </row>
    <row r="135" spans="1:7" x14ac:dyDescent="0.2">
      <c r="A135" t="s">
        <v>233</v>
      </c>
      <c r="B135" s="32" t="s">
        <v>234</v>
      </c>
      <c r="C135" s="95">
        <f>'DOE25'!L263</f>
        <v>48202.12</v>
      </c>
      <c r="D135" s="24" t="s">
        <v>289</v>
      </c>
      <c r="E135" s="129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289</v>
      </c>
      <c r="E137" s="129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5">
        <f>'DOE25'!L393</f>
        <v>0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5">
        <f>'DOE25'!L401</f>
        <v>80000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5">
        <f>('DOE25'!L266+'DOE25'!K347) - (C138+C139+C140)</f>
        <v>0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9">
        <f>'DOE25'!L268</f>
        <v>11118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289</v>
      </c>
      <c r="E143" s="129">
        <f>'DOE25'!L350</f>
        <v>0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1">
        <f>SUM(C130:C143)</f>
        <v>485499.49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80000</v>
      </c>
    </row>
    <row r="145" spans="1:9" ht="12.75" thickTop="1" thickBot="1" x14ac:dyDescent="0.25">
      <c r="A145" s="33" t="s">
        <v>244</v>
      </c>
      <c r="C145" s="86">
        <f>(C115+C128+C144)</f>
        <v>12769987.915999999</v>
      </c>
      <c r="D145" s="86">
        <f>(D115+D128+D144)</f>
        <v>342781.86999999994</v>
      </c>
      <c r="E145" s="86">
        <f>(E115+E128+E144)</f>
        <v>544565.9</v>
      </c>
      <c r="F145" s="86">
        <f>(F115+F128+F144)</f>
        <v>0</v>
      </c>
      <c r="G145" s="86">
        <f>(G115+G128+G144)</f>
        <v>80000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6" t="s">
        <v>27</v>
      </c>
      <c r="B151" s="153">
        <f>'DOE25'!F490</f>
        <v>15</v>
      </c>
      <c r="C151" s="153">
        <f>'DOE25'!G490</f>
        <v>15</v>
      </c>
      <c r="D151" s="153">
        <f>'DOE25'!H490</f>
        <v>10</v>
      </c>
      <c r="E151" s="153">
        <f>'DOE25'!I490</f>
        <v>14</v>
      </c>
      <c r="F151" s="153">
        <f>'DOE25'!J490</f>
        <v>5</v>
      </c>
      <c r="G151" s="24" t="s">
        <v>289</v>
      </c>
    </row>
    <row r="152" spans="1:9" x14ac:dyDescent="0.2">
      <c r="A152" s="136" t="s">
        <v>28</v>
      </c>
      <c r="B152" s="152" t="str">
        <f>'DOE25'!F491</f>
        <v>08/03</v>
      </c>
      <c r="C152" s="152" t="str">
        <f>'DOE25'!G491</f>
        <v>07/05</v>
      </c>
      <c r="D152" s="152" t="str">
        <f>'DOE25'!H491</f>
        <v>03/09</v>
      </c>
      <c r="E152" s="152" t="str">
        <f>'DOE25'!I491</f>
        <v>11/08</v>
      </c>
      <c r="F152" s="152" t="str">
        <f>'DOE25'!J491</f>
        <v>02/12</v>
      </c>
      <c r="G152" s="24" t="s">
        <v>289</v>
      </c>
    </row>
    <row r="153" spans="1:9" x14ac:dyDescent="0.2">
      <c r="A153" s="136" t="s">
        <v>29</v>
      </c>
      <c r="B153" s="152" t="str">
        <f>'DOE25'!F492</f>
        <v>08/18</v>
      </c>
      <c r="C153" s="152" t="str">
        <f>'DOE25'!G492</f>
        <v>07/21</v>
      </c>
      <c r="D153" s="152" t="str">
        <f>'DOE25'!H492</f>
        <v>03/19</v>
      </c>
      <c r="E153" s="152" t="str">
        <f>'DOE25'!I492</f>
        <v>11/22</v>
      </c>
      <c r="F153" s="152" t="str">
        <f>'DOE25'!J492</f>
        <v>02/17</v>
      </c>
      <c r="G153" s="24" t="s">
        <v>289</v>
      </c>
    </row>
    <row r="154" spans="1:9" x14ac:dyDescent="0.2">
      <c r="A154" s="136" t="s">
        <v>30</v>
      </c>
      <c r="B154" s="137">
        <f>'DOE25'!F493</f>
        <v>500000</v>
      </c>
      <c r="C154" s="137">
        <f>'DOE25'!G493</f>
        <v>1694000</v>
      </c>
      <c r="D154" s="137">
        <f>'DOE25'!H493</f>
        <v>605000</v>
      </c>
      <c r="E154" s="137">
        <f>'DOE25'!I493</f>
        <v>1498000</v>
      </c>
      <c r="F154" s="137">
        <f>'DOE25'!J493</f>
        <v>735435.15</v>
      </c>
      <c r="G154" s="24" t="s">
        <v>289</v>
      </c>
    </row>
    <row r="155" spans="1:9" x14ac:dyDescent="0.2">
      <c r="A155" s="136" t="s">
        <v>31</v>
      </c>
      <c r="B155" s="137">
        <f>'DOE25'!F494</f>
        <v>0</v>
      </c>
      <c r="C155" s="137">
        <f>'DOE25'!G494</f>
        <v>0</v>
      </c>
      <c r="D155" s="137">
        <f>'DOE25'!H494</f>
        <v>4.5</v>
      </c>
      <c r="E155" s="137">
        <f>'DOE25'!I494</f>
        <v>0</v>
      </c>
      <c r="F155" s="137">
        <f>'DOE25'!J494</f>
        <v>2.25</v>
      </c>
      <c r="G155" s="24" t="s">
        <v>289</v>
      </c>
    </row>
    <row r="156" spans="1:9" x14ac:dyDescent="0.2">
      <c r="A156" s="22" t="s">
        <v>32</v>
      </c>
      <c r="B156" s="137">
        <f>'DOE25'!F495</f>
        <v>200000</v>
      </c>
      <c r="C156" s="137">
        <f>'DOE25'!G495</f>
        <v>946400.00000000012</v>
      </c>
      <c r="D156" s="137">
        <f>'DOE25'!H495</f>
        <v>363000</v>
      </c>
      <c r="E156" s="137">
        <f>'DOE25'!I495</f>
        <v>1070000</v>
      </c>
      <c r="F156" s="137">
        <f>'DOE25'!J495</f>
        <v>58778.119999999995</v>
      </c>
      <c r="G156" s="138">
        <f>SUM(B156:F156)</f>
        <v>2638178.12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33333.33</v>
      </c>
      <c r="C158" s="137">
        <f>'DOE25'!G497</f>
        <v>112933.33</v>
      </c>
      <c r="D158" s="137">
        <f>'DOE25'!H497</f>
        <v>60500</v>
      </c>
      <c r="E158" s="137">
        <f>'DOE25'!I497</f>
        <v>107000</v>
      </c>
      <c r="F158" s="137">
        <f>'DOE25'!J497</f>
        <v>14757.03</v>
      </c>
      <c r="G158" s="138">
        <f t="shared" si="0"/>
        <v>328523.69000000006</v>
      </c>
    </row>
    <row r="159" spans="1:9" x14ac:dyDescent="0.2">
      <c r="A159" s="22" t="s">
        <v>35</v>
      </c>
      <c r="B159" s="137">
        <f>'DOE25'!F498</f>
        <v>166666.66999999998</v>
      </c>
      <c r="C159" s="137">
        <f>'DOE25'!G498</f>
        <v>833466.67000000016</v>
      </c>
      <c r="D159" s="137">
        <f>'DOE25'!H498</f>
        <v>302500</v>
      </c>
      <c r="E159" s="137">
        <f>'DOE25'!I498</f>
        <v>963000</v>
      </c>
      <c r="F159" s="137">
        <f>'DOE25'!J498</f>
        <v>44021.09</v>
      </c>
      <c r="G159" s="138">
        <f t="shared" si="0"/>
        <v>2309654.4299999997</v>
      </c>
    </row>
    <row r="160" spans="1:9" x14ac:dyDescent="0.2">
      <c r="A160" s="22" t="s">
        <v>36</v>
      </c>
      <c r="B160" s="137">
        <f>'DOE25'!F499</f>
        <v>0</v>
      </c>
      <c r="C160" s="137">
        <f>'DOE25'!G499</f>
        <v>0</v>
      </c>
      <c r="D160" s="137">
        <f>'DOE25'!H499</f>
        <v>40867.339999999997</v>
      </c>
      <c r="E160" s="137">
        <f>'DOE25'!I499</f>
        <v>0</v>
      </c>
      <c r="F160" s="137">
        <f>'DOE25'!J499</f>
        <v>3321.24</v>
      </c>
      <c r="G160" s="138">
        <f t="shared" si="0"/>
        <v>44188.579999999994</v>
      </c>
    </row>
    <row r="161" spans="1:7" x14ac:dyDescent="0.2">
      <c r="A161" s="22" t="s">
        <v>37</v>
      </c>
      <c r="B161" s="137">
        <f>'DOE25'!F500</f>
        <v>166666.66999999998</v>
      </c>
      <c r="C161" s="137">
        <f>'DOE25'!G500</f>
        <v>833466.67000000016</v>
      </c>
      <c r="D161" s="137">
        <f>'DOE25'!H500</f>
        <v>343367.33999999997</v>
      </c>
      <c r="E161" s="137">
        <f>'DOE25'!I500</f>
        <v>963000</v>
      </c>
      <c r="F161" s="137">
        <f>'DOE25'!J500</f>
        <v>47342.329999999994</v>
      </c>
      <c r="G161" s="138">
        <f t="shared" si="0"/>
        <v>2353843.0100000002</v>
      </c>
    </row>
    <row r="162" spans="1:7" x14ac:dyDescent="0.2">
      <c r="A162" s="22" t="s">
        <v>38</v>
      </c>
      <c r="B162" s="137">
        <f>'DOE25'!F501</f>
        <v>33333.33</v>
      </c>
      <c r="C162" s="137">
        <f>'DOE25'!G501</f>
        <v>112933.33</v>
      </c>
      <c r="D162" s="137">
        <f>'DOE25'!H501</f>
        <v>60500</v>
      </c>
      <c r="E162" s="137">
        <f>'DOE25'!I501</f>
        <v>107000</v>
      </c>
      <c r="F162" s="137">
        <f>'DOE25'!J501</f>
        <v>14757.03</v>
      </c>
      <c r="G162" s="138">
        <f t="shared" si="0"/>
        <v>328523.69000000006</v>
      </c>
    </row>
    <row r="163" spans="1:7" x14ac:dyDescent="0.2">
      <c r="A163" s="22" t="s">
        <v>39</v>
      </c>
      <c r="B163" s="137">
        <f>'DOE25'!F502</f>
        <v>0</v>
      </c>
      <c r="C163" s="137">
        <f>'DOE25'!G502</f>
        <v>0</v>
      </c>
      <c r="D163" s="137">
        <f>'DOE25'!H502</f>
        <v>16335</v>
      </c>
      <c r="E163" s="137">
        <f>'DOE25'!I502</f>
        <v>0</v>
      </c>
      <c r="F163" s="137">
        <f>'DOE25'!J502</f>
        <v>1328.13</v>
      </c>
      <c r="G163" s="138">
        <f t="shared" si="0"/>
        <v>17663.13</v>
      </c>
    </row>
    <row r="164" spans="1:7" x14ac:dyDescent="0.2">
      <c r="A164" s="22" t="s">
        <v>246</v>
      </c>
      <c r="B164" s="137">
        <f>'DOE25'!F503</f>
        <v>33333.33</v>
      </c>
      <c r="C164" s="137">
        <f>'DOE25'!G503</f>
        <v>112933.33</v>
      </c>
      <c r="D164" s="137">
        <f>'DOE25'!H503</f>
        <v>76835</v>
      </c>
      <c r="E164" s="137">
        <f>'DOE25'!I503</f>
        <v>107000</v>
      </c>
      <c r="F164" s="137">
        <f>'DOE25'!J503</f>
        <v>16085.16</v>
      </c>
      <c r="G164" s="138">
        <f t="shared" si="0"/>
        <v>346186.82</v>
      </c>
    </row>
  </sheetData>
  <sheetProtection password="A7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2013-2014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3"/>
  </sheetPr>
  <dimension ref="A1:D42"/>
  <sheetViews>
    <sheetView workbookViewId="0">
      <selection activeCell="B2" sqref="B2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90" t="s">
        <v>740</v>
      </c>
      <c r="B1" s="290"/>
      <c r="C1" s="290"/>
      <c r="D1" s="290"/>
    </row>
    <row r="2" spans="1:4" x14ac:dyDescent="0.2">
      <c r="A2" s="185" t="s">
        <v>717</v>
      </c>
      <c r="B2" s="184" t="str">
        <f>'DOE25'!A2</f>
        <v>Haverhill Coop</v>
      </c>
    </row>
    <row r="3" spans="1:4" x14ac:dyDescent="0.2">
      <c r="B3" s="186" t="s">
        <v>896</v>
      </c>
    </row>
    <row r="4" spans="1:4" x14ac:dyDescent="0.2">
      <c r="B4" t="s">
        <v>61</v>
      </c>
      <c r="C4" s="177">
        <f>IF('DOE25'!F665+'DOE25'!F670=0,0,ROUND('DOE25'!F672,0))</f>
        <v>13980</v>
      </c>
    </row>
    <row r="5" spans="1:4" x14ac:dyDescent="0.2">
      <c r="B5" t="s">
        <v>704</v>
      </c>
      <c r="C5" s="177">
        <f>IF('DOE25'!G665+'DOE25'!G670=0,0,ROUND('DOE25'!G672,0))</f>
        <v>15850</v>
      </c>
    </row>
    <row r="6" spans="1:4" x14ac:dyDescent="0.2">
      <c r="B6" t="s">
        <v>62</v>
      </c>
      <c r="C6" s="177">
        <f>IF('DOE25'!H665+'DOE25'!H670=0,0,ROUND('DOE25'!H672,0))</f>
        <v>17893</v>
      </c>
    </row>
    <row r="7" spans="1:4" x14ac:dyDescent="0.2">
      <c r="B7" t="s">
        <v>705</v>
      </c>
      <c r="C7" s="177">
        <f>IF('DOE25'!I665+'DOE25'!I670=0,0,ROUND('DOE25'!I672,0))</f>
        <v>15942</v>
      </c>
    </row>
    <row r="9" spans="1:4" x14ac:dyDescent="0.2">
      <c r="A9" s="185" t="s">
        <v>94</v>
      </c>
      <c r="B9" s="186" t="s">
        <v>897</v>
      </c>
      <c r="C9" s="179" t="s">
        <v>724</v>
      </c>
      <c r="D9" s="179" t="s">
        <v>725</v>
      </c>
    </row>
    <row r="10" spans="1:4" x14ac:dyDescent="0.2">
      <c r="A10">
        <v>1100</v>
      </c>
      <c r="B10" t="s">
        <v>706</v>
      </c>
      <c r="C10" s="177">
        <f>ROUND('DOE25'!L197+'DOE25'!L215+'DOE25'!L233+'DOE25'!L276+'DOE25'!L295+'DOE25'!L314,0)</f>
        <v>4726430</v>
      </c>
      <c r="D10" s="180">
        <f>ROUND((C10/$C$28)*100,1)</f>
        <v>36.200000000000003</v>
      </c>
    </row>
    <row r="11" spans="1:4" x14ac:dyDescent="0.2">
      <c r="A11">
        <v>1200</v>
      </c>
      <c r="B11" t="s">
        <v>707</v>
      </c>
      <c r="C11" s="177">
        <f>ROUND('DOE25'!L198+'DOE25'!L216+'DOE25'!L234+'DOE25'!L277+'DOE25'!L296+'DOE25'!L315,0)</f>
        <v>2988607</v>
      </c>
      <c r="D11" s="180">
        <f>ROUND((C11/$C$28)*100,1)</f>
        <v>22.9</v>
      </c>
    </row>
    <row r="12" spans="1:4" x14ac:dyDescent="0.2">
      <c r="A12">
        <v>1300</v>
      </c>
      <c r="B12" t="s">
        <v>708</v>
      </c>
      <c r="C12" s="177">
        <f>ROUND('DOE25'!L199+'DOE25'!L217+'DOE25'!L235+'DOE25'!L278+'DOE25'!L297+'DOE25'!L316,0)</f>
        <v>298984</v>
      </c>
      <c r="D12" s="180">
        <f>ROUND((C12/$C$28)*100,1)</f>
        <v>2.2999999999999998</v>
      </c>
    </row>
    <row r="13" spans="1:4" x14ac:dyDescent="0.2">
      <c r="A13">
        <v>1400</v>
      </c>
      <c r="B13" t="s">
        <v>709</v>
      </c>
      <c r="C13" s="177">
        <f>ROUND('DOE25'!L200+'DOE25'!L218+'DOE25'!L236+'DOE25'!L279+'DOE25'!L298+'DOE25'!L317,0)</f>
        <v>386873</v>
      </c>
      <c r="D13" s="180">
        <f>ROUND((C13/$C$28)*100,1)</f>
        <v>3</v>
      </c>
    </row>
    <row r="14" spans="1:4" x14ac:dyDescent="0.2">
      <c r="D14" s="180"/>
    </row>
    <row r="15" spans="1:4" x14ac:dyDescent="0.2">
      <c r="A15">
        <v>2100</v>
      </c>
      <c r="B15" t="s">
        <v>710</v>
      </c>
      <c r="C15" s="177">
        <f>ROUND('DOE25'!L202+'DOE25'!L220+'DOE25'!L238+'DOE25'!L281+'DOE25'!L300+'DOE25'!L319,0)</f>
        <v>1058739</v>
      </c>
      <c r="D15" s="180">
        <f t="shared" ref="D15:D27" si="0">ROUND((C15/$C$28)*100,1)</f>
        <v>8.1</v>
      </c>
    </row>
    <row r="16" spans="1:4" x14ac:dyDescent="0.2">
      <c r="A16">
        <v>2200</v>
      </c>
      <c r="B16" t="s">
        <v>711</v>
      </c>
      <c r="C16" s="177">
        <f>ROUND('DOE25'!L203+'DOE25'!L221+'DOE25'!L239+'DOE25'!L282+'DOE25'!L301+'DOE25'!L320,0)</f>
        <v>339984</v>
      </c>
      <c r="D16" s="180">
        <f t="shared" si="0"/>
        <v>2.6</v>
      </c>
    </row>
    <row r="17" spans="1:4" x14ac:dyDescent="0.2">
      <c r="A17" s="181" t="s">
        <v>727</v>
      </c>
      <c r="B17" t="s">
        <v>742</v>
      </c>
      <c r="C17" s="177">
        <f>ROUND('DOE25'!L204+'DOE25'!L209+'DOE25'!L222+'DOE25'!L227+'DOE25'!L240+'DOE25'!L245+'DOE25'!L283+'DOE25'!L288+'DOE25'!L302+'DOE25'!L307+'DOE25'!L321+'DOE25'!L326,0)</f>
        <v>757357</v>
      </c>
      <c r="D17" s="180">
        <f t="shared" si="0"/>
        <v>5.8</v>
      </c>
    </row>
    <row r="18" spans="1:4" x14ac:dyDescent="0.2">
      <c r="A18">
        <v>2400</v>
      </c>
      <c r="B18" t="s">
        <v>715</v>
      </c>
      <c r="C18" s="177">
        <f>ROUND('DOE25'!L205+'DOE25'!L223+'DOE25'!L241+'DOE25'!L284+'DOE25'!L303+'DOE25'!L322,0)</f>
        <v>764795</v>
      </c>
      <c r="D18" s="180">
        <f t="shared" si="0"/>
        <v>5.9</v>
      </c>
    </row>
    <row r="19" spans="1:4" x14ac:dyDescent="0.2">
      <c r="A19">
        <v>2500</v>
      </c>
      <c r="B19" t="s">
        <v>712</v>
      </c>
      <c r="C19" s="177">
        <f>ROUND('DOE25'!L206+'DOE25'!L224+'DOE25'!L242+'DOE25'!L285+'DOE25'!L304+'DOE25'!L323,0)</f>
        <v>0</v>
      </c>
      <c r="D19" s="180">
        <f t="shared" si="0"/>
        <v>0</v>
      </c>
    </row>
    <row r="20" spans="1:4" x14ac:dyDescent="0.2">
      <c r="A20">
        <v>2600</v>
      </c>
      <c r="B20" t="s">
        <v>713</v>
      </c>
      <c r="C20" s="177">
        <f>ROUND('DOE25'!L207+'DOE25'!L225+'DOE25'!L243+'DOE25'!L286+'DOE25'!L305+'DOE25'!L324,0)</f>
        <v>948695</v>
      </c>
      <c r="D20" s="180">
        <f t="shared" si="0"/>
        <v>7.3</v>
      </c>
    </row>
    <row r="21" spans="1:4" x14ac:dyDescent="0.2">
      <c r="A21">
        <v>2700</v>
      </c>
      <c r="B21" t="s">
        <v>714</v>
      </c>
      <c r="C21" s="177">
        <f>ROUND('DOE25'!L208+'DOE25'!L226+'DOE25'!L244+'DOE25'!L287+'DOE25'!L306+'DOE25'!L325,0)</f>
        <v>513618</v>
      </c>
      <c r="D21" s="180">
        <f t="shared" si="0"/>
        <v>3.9</v>
      </c>
    </row>
    <row r="22" spans="1:4" x14ac:dyDescent="0.2">
      <c r="A22">
        <v>2900</v>
      </c>
      <c r="B22" t="s">
        <v>716</v>
      </c>
      <c r="C22" s="177">
        <v>0</v>
      </c>
      <c r="D22" s="180">
        <f t="shared" si="0"/>
        <v>0</v>
      </c>
    </row>
    <row r="23" spans="1:4" x14ac:dyDescent="0.2">
      <c r="A23">
        <v>1500</v>
      </c>
      <c r="B23" t="s">
        <v>718</v>
      </c>
      <c r="C23" s="177">
        <f>ROUND('DOE25'!L250+'DOE25'!L332,0)</f>
        <v>0</v>
      </c>
      <c r="D23" s="180">
        <f t="shared" si="0"/>
        <v>0</v>
      </c>
    </row>
    <row r="24" spans="1:4" x14ac:dyDescent="0.2">
      <c r="A24" s="181" t="s">
        <v>726</v>
      </c>
      <c r="B24" t="s">
        <v>719</v>
      </c>
      <c r="C24" s="177">
        <f>ROUND('DOE25'!L251+'DOE25'!L252+'DOE25'!L253+'DOE25'!L254+'DOE25'!L333+'DOE25'!L334+'DOE25'!L335,0)</f>
        <v>44973</v>
      </c>
      <c r="D24" s="180">
        <f t="shared" si="0"/>
        <v>0.3</v>
      </c>
    </row>
    <row r="25" spans="1:4" x14ac:dyDescent="0.2">
      <c r="A25">
        <v>5120</v>
      </c>
      <c r="B25" t="s">
        <v>720</v>
      </c>
      <c r="C25" s="177">
        <f>ROUND('DOE25'!L261+'DOE25'!L342,0)</f>
        <v>17656</v>
      </c>
      <c r="D25" s="180">
        <f t="shared" si="0"/>
        <v>0.1</v>
      </c>
    </row>
    <row r="26" spans="1:4" x14ac:dyDescent="0.2">
      <c r="A26" s="181" t="s">
        <v>721</v>
      </c>
      <c r="B26" t="s">
        <v>722</v>
      </c>
      <c r="C26" s="177">
        <f>'DOE25'!L268+'DOE25'!L269+'DOE25'!L349+'DOE25'!L350</f>
        <v>11118</v>
      </c>
      <c r="D26" s="180">
        <f t="shared" si="0"/>
        <v>0.1</v>
      </c>
    </row>
    <row r="27" spans="1:4" x14ac:dyDescent="0.2">
      <c r="A27">
        <v>3100</v>
      </c>
      <c r="B27" t="s">
        <v>11</v>
      </c>
      <c r="C27" s="177">
        <f>ROUND('DOE25'!L362-'DOE25'!L361,0)-SUM('DOE25'!G97:G110)</f>
        <v>209164.97</v>
      </c>
      <c r="D27" s="180">
        <f t="shared" si="0"/>
        <v>1.6</v>
      </c>
    </row>
    <row r="28" spans="1:4" x14ac:dyDescent="0.2">
      <c r="B28" s="185" t="s">
        <v>723</v>
      </c>
      <c r="C28" s="178">
        <f>SUM(C10:C27)</f>
        <v>13066993.970000001</v>
      </c>
      <c r="D28" s="182">
        <f>ROUND(SUM(D10:D27),0)</f>
        <v>100</v>
      </c>
    </row>
    <row r="29" spans="1:4" x14ac:dyDescent="0.2">
      <c r="A29">
        <v>4000</v>
      </c>
      <c r="B29" t="s">
        <v>728</v>
      </c>
      <c r="C29" s="177">
        <f>ROUND('DOE25'!L255+'DOE25'!L336+'DOE25'!L374+'DOE25'!L375+'DOE25'!L376+'DOE25'!L377+'DOE25'!L378+'DOE25'!L379+'DOE25'!L380,0)</f>
        <v>0</v>
      </c>
    </row>
    <row r="30" spans="1:4" x14ac:dyDescent="0.2">
      <c r="B30" s="185" t="s">
        <v>729</v>
      </c>
      <c r="C30" s="178">
        <f>SUM(C28:C29)</f>
        <v>13066993.970000001</v>
      </c>
    </row>
    <row r="31" spans="1:4" x14ac:dyDescent="0.2">
      <c r="B31" s="33"/>
      <c r="C31" s="178"/>
    </row>
    <row r="32" spans="1:4" x14ac:dyDescent="0.2">
      <c r="A32">
        <v>5100</v>
      </c>
      <c r="B32" s="33" t="s">
        <v>730</v>
      </c>
      <c r="C32" s="178">
        <f>ROUND('DOE25'!L260+'DOE25'!L341,0)</f>
        <v>328524</v>
      </c>
    </row>
    <row r="34" spans="1:4" x14ac:dyDescent="0.2">
      <c r="A34" s="185" t="s">
        <v>94</v>
      </c>
      <c r="B34" s="186" t="s">
        <v>898</v>
      </c>
      <c r="C34" s="179" t="s">
        <v>724</v>
      </c>
      <c r="D34" s="179" t="s">
        <v>725</v>
      </c>
    </row>
    <row r="35" spans="1:4" x14ac:dyDescent="0.2">
      <c r="A35">
        <v>1100</v>
      </c>
      <c r="B35" s="183" t="s">
        <v>731</v>
      </c>
      <c r="C35" s="177">
        <f>ROUND('DOE25'!F60+'DOE25'!G60+'DOE25'!H60+'DOE25'!I60+'DOE25'!J60,0)</f>
        <v>5636348</v>
      </c>
      <c r="D35" s="180">
        <f t="shared" ref="D35:D40" si="1">ROUND((C35/$C$41)*100,1)</f>
        <v>41.1</v>
      </c>
    </row>
    <row r="36" spans="1:4" x14ac:dyDescent="0.2">
      <c r="B36" s="183" t="s">
        <v>743</v>
      </c>
      <c r="C36" s="177">
        <f>SUM('DOE25'!F112:J112)-SUM('DOE25'!G97:G110)+('DOE25'!F174+'DOE25'!F175+'DOE25'!I174+'DOE25'!I175)-C35</f>
        <v>1593708.37</v>
      </c>
      <c r="D36" s="180">
        <f t="shared" si="1"/>
        <v>11.6</v>
      </c>
    </row>
    <row r="37" spans="1:4" x14ac:dyDescent="0.2">
      <c r="A37" s="181" t="s">
        <v>851</v>
      </c>
      <c r="B37" s="183" t="s">
        <v>732</v>
      </c>
      <c r="C37" s="177">
        <f>ROUND('DOE25'!F117+'DOE25'!F118,0)</f>
        <v>4851286</v>
      </c>
      <c r="D37" s="180">
        <f t="shared" si="1"/>
        <v>35.4</v>
      </c>
    </row>
    <row r="38" spans="1:4" x14ac:dyDescent="0.2">
      <c r="A38" s="181" t="s">
        <v>738</v>
      </c>
      <c r="B38" s="183" t="s">
        <v>733</v>
      </c>
      <c r="C38" s="177">
        <f>ROUND(SUM('DOE25'!F140:J140)-SUM('DOE25'!F117:F119),0)</f>
        <v>623667</v>
      </c>
      <c r="D38" s="180">
        <f t="shared" si="1"/>
        <v>4.5999999999999996</v>
      </c>
    </row>
    <row r="39" spans="1:4" x14ac:dyDescent="0.2">
      <c r="A39">
        <v>4000</v>
      </c>
      <c r="B39" s="183" t="s">
        <v>734</v>
      </c>
      <c r="C39" s="177">
        <f>ROUND('DOE25'!F169+'DOE25'!G169+'DOE25'!H169+'DOE25'!I169,0)</f>
        <v>1001284</v>
      </c>
      <c r="D39" s="180">
        <f t="shared" si="1"/>
        <v>7.3</v>
      </c>
    </row>
    <row r="40" spans="1:4" x14ac:dyDescent="0.2">
      <c r="A40" s="181" t="s">
        <v>739</v>
      </c>
      <c r="B40" s="183" t="s">
        <v>735</v>
      </c>
      <c r="C40" s="177">
        <f>ROUND(SUM('DOE25'!F189:F191)+SUM('DOE25'!G189:G191)+SUM('DOE25'!H189:H191)+SUM('DOE25'!I189:I191),0)</f>
        <v>0</v>
      </c>
      <c r="D40" s="180">
        <f t="shared" si="1"/>
        <v>0</v>
      </c>
    </row>
    <row r="41" spans="1:4" x14ac:dyDescent="0.2">
      <c r="B41" s="185" t="s">
        <v>736</v>
      </c>
      <c r="C41" s="178">
        <f>SUM(C35:C40)</f>
        <v>13706293.370000001</v>
      </c>
      <c r="D41" s="182">
        <f>SUM(D35:D40)</f>
        <v>99.999999999999986</v>
      </c>
    </row>
    <row r="42" spans="1:4" x14ac:dyDescent="0.2">
      <c r="A42" s="181" t="s">
        <v>741</v>
      </c>
      <c r="B42" s="183" t="s">
        <v>737</v>
      </c>
      <c r="C42" s="177">
        <f>ROUND('DOE25'!F173+'DOE25'!I173+'DOE25'!F176+'DOE25'!I176,0)</f>
        <v>0</v>
      </c>
    </row>
  </sheetData>
  <sheetProtection password="A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301" t="s">
        <v>770</v>
      </c>
      <c r="B1" s="302"/>
      <c r="C1" s="302"/>
      <c r="D1" s="302"/>
      <c r="E1" s="302"/>
      <c r="F1" s="302"/>
      <c r="G1" s="302"/>
      <c r="H1" s="302"/>
      <c r="I1" s="302"/>
      <c r="J1" s="210"/>
      <c r="K1" s="210"/>
      <c r="L1" s="210"/>
      <c r="M1" s="211"/>
    </row>
    <row r="2" spans="1:26" ht="12.75" x14ac:dyDescent="0.2">
      <c r="A2" s="307" t="s">
        <v>767</v>
      </c>
      <c r="B2" s="308"/>
      <c r="C2" s="308"/>
      <c r="D2" s="308"/>
      <c r="E2" s="308"/>
      <c r="F2" s="305" t="str">
        <f>'DOE25'!A2</f>
        <v>Haverhill Coop</v>
      </c>
      <c r="G2" s="306"/>
      <c r="H2" s="306"/>
      <c r="I2" s="306"/>
      <c r="J2" s="52"/>
      <c r="K2" s="52"/>
      <c r="L2" s="52"/>
      <c r="M2" s="212"/>
    </row>
    <row r="3" spans="1:26" x14ac:dyDescent="0.2">
      <c r="A3" s="213" t="s">
        <v>768</v>
      </c>
      <c r="B3" s="214" t="s">
        <v>769</v>
      </c>
      <c r="C3" s="303" t="s">
        <v>771</v>
      </c>
      <c r="D3" s="303"/>
      <c r="E3" s="303"/>
      <c r="F3" s="303"/>
      <c r="G3" s="303"/>
      <c r="H3" s="303"/>
      <c r="I3" s="303"/>
      <c r="J3" s="303"/>
      <c r="K3" s="303"/>
      <c r="L3" s="303"/>
      <c r="M3" s="304"/>
    </row>
    <row r="4" spans="1:26" x14ac:dyDescent="0.2">
      <c r="A4" s="215"/>
      <c r="B4" s="216"/>
      <c r="C4" s="292"/>
      <c r="D4" s="292"/>
      <c r="E4" s="292"/>
      <c r="F4" s="292"/>
      <c r="G4" s="292"/>
      <c r="H4" s="292"/>
      <c r="I4" s="292"/>
      <c r="J4" s="292"/>
      <c r="K4" s="292"/>
      <c r="L4" s="292"/>
      <c r="M4" s="293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5"/>
      <c r="B5" s="216"/>
      <c r="C5" s="292"/>
      <c r="D5" s="292"/>
      <c r="E5" s="292"/>
      <c r="F5" s="292"/>
      <c r="G5" s="292"/>
      <c r="H5" s="292"/>
      <c r="I5" s="292"/>
      <c r="J5" s="292"/>
      <c r="K5" s="292"/>
      <c r="L5" s="292"/>
      <c r="M5" s="293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5"/>
      <c r="B6" s="216"/>
      <c r="C6" s="292"/>
      <c r="D6" s="292"/>
      <c r="E6" s="292"/>
      <c r="F6" s="292"/>
      <c r="G6" s="292"/>
      <c r="H6" s="292"/>
      <c r="I6" s="292"/>
      <c r="J6" s="292"/>
      <c r="K6" s="292"/>
      <c r="L6" s="292"/>
      <c r="M6" s="293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5"/>
      <c r="B7" s="216"/>
      <c r="C7" s="292"/>
      <c r="D7" s="292"/>
      <c r="E7" s="292"/>
      <c r="F7" s="292"/>
      <c r="G7" s="292"/>
      <c r="H7" s="292"/>
      <c r="I7" s="292"/>
      <c r="J7" s="292"/>
      <c r="K7" s="292"/>
      <c r="L7" s="292"/>
      <c r="M7" s="293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5"/>
      <c r="B8" s="216"/>
      <c r="C8" s="292"/>
      <c r="D8" s="292"/>
      <c r="E8" s="292"/>
      <c r="F8" s="292"/>
      <c r="G8" s="292"/>
      <c r="H8" s="292"/>
      <c r="I8" s="292"/>
      <c r="J8" s="292"/>
      <c r="K8" s="292"/>
      <c r="L8" s="292"/>
      <c r="M8" s="293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5"/>
      <c r="B9" s="216"/>
      <c r="C9" s="292"/>
      <c r="D9" s="292"/>
      <c r="E9" s="292"/>
      <c r="F9" s="292"/>
      <c r="G9" s="292"/>
      <c r="H9" s="292"/>
      <c r="I9" s="292"/>
      <c r="J9" s="292"/>
      <c r="K9" s="292"/>
      <c r="L9" s="292"/>
      <c r="M9" s="293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5"/>
      <c r="B10" s="216"/>
      <c r="C10" s="292"/>
      <c r="D10" s="292"/>
      <c r="E10" s="292"/>
      <c r="F10" s="292"/>
      <c r="G10" s="292"/>
      <c r="H10" s="292"/>
      <c r="I10" s="292"/>
      <c r="J10" s="292"/>
      <c r="K10" s="292"/>
      <c r="L10" s="292"/>
      <c r="M10" s="293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5"/>
      <c r="B11" s="216"/>
      <c r="C11" s="292"/>
      <c r="D11" s="292"/>
      <c r="E11" s="292"/>
      <c r="F11" s="292"/>
      <c r="G11" s="292"/>
      <c r="H11" s="292"/>
      <c r="I11" s="292"/>
      <c r="J11" s="292"/>
      <c r="K11" s="292"/>
      <c r="L11" s="292"/>
      <c r="M11" s="293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5"/>
      <c r="B12" s="216"/>
      <c r="C12" s="292"/>
      <c r="D12" s="292"/>
      <c r="E12" s="292"/>
      <c r="F12" s="292"/>
      <c r="G12" s="292"/>
      <c r="H12" s="292"/>
      <c r="I12" s="292"/>
      <c r="J12" s="292"/>
      <c r="K12" s="292"/>
      <c r="L12" s="292"/>
      <c r="M12" s="293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5"/>
      <c r="B13" s="216"/>
      <c r="C13" s="292"/>
      <c r="D13" s="292"/>
      <c r="E13" s="292"/>
      <c r="F13" s="292"/>
      <c r="G13" s="292"/>
      <c r="H13" s="292"/>
      <c r="I13" s="292"/>
      <c r="J13" s="292"/>
      <c r="K13" s="292"/>
      <c r="L13" s="292"/>
      <c r="M13" s="293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5"/>
      <c r="B14" s="216"/>
      <c r="C14" s="292"/>
      <c r="D14" s="292"/>
      <c r="E14" s="292"/>
      <c r="F14" s="292"/>
      <c r="G14" s="292"/>
      <c r="H14" s="292"/>
      <c r="I14" s="292"/>
      <c r="J14" s="292"/>
      <c r="K14" s="292"/>
      <c r="L14" s="292"/>
      <c r="M14" s="293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5"/>
      <c r="B15" s="216"/>
      <c r="C15" s="292"/>
      <c r="D15" s="292"/>
      <c r="E15" s="292"/>
      <c r="F15" s="292"/>
      <c r="G15" s="292"/>
      <c r="H15" s="292"/>
      <c r="I15" s="292"/>
      <c r="J15" s="292"/>
      <c r="K15" s="292"/>
      <c r="L15" s="292"/>
      <c r="M15" s="293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5"/>
      <c r="B16" s="216"/>
      <c r="C16" s="292"/>
      <c r="D16" s="292"/>
      <c r="E16" s="292"/>
      <c r="F16" s="292"/>
      <c r="G16" s="292"/>
      <c r="H16" s="292"/>
      <c r="I16" s="292"/>
      <c r="J16" s="292"/>
      <c r="K16" s="292"/>
      <c r="L16" s="292"/>
      <c r="M16" s="293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5"/>
      <c r="B17" s="216"/>
      <c r="C17" s="292"/>
      <c r="D17" s="292"/>
      <c r="E17" s="292"/>
      <c r="F17" s="292"/>
      <c r="G17" s="292"/>
      <c r="H17" s="292"/>
      <c r="I17" s="292"/>
      <c r="J17" s="292"/>
      <c r="K17" s="292"/>
      <c r="L17" s="292"/>
      <c r="M17" s="293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5"/>
      <c r="B18" s="216"/>
      <c r="C18" s="292"/>
      <c r="D18" s="292"/>
      <c r="E18" s="292"/>
      <c r="F18" s="292"/>
      <c r="G18" s="292"/>
      <c r="H18" s="292"/>
      <c r="I18" s="292"/>
      <c r="J18" s="292"/>
      <c r="K18" s="292"/>
      <c r="L18" s="292"/>
      <c r="M18" s="293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5"/>
      <c r="B19" s="216"/>
      <c r="C19" s="292"/>
      <c r="D19" s="292"/>
      <c r="E19" s="292"/>
      <c r="F19" s="292"/>
      <c r="G19" s="292"/>
      <c r="H19" s="292"/>
      <c r="I19" s="292"/>
      <c r="J19" s="292"/>
      <c r="K19" s="292"/>
      <c r="L19" s="292"/>
      <c r="M19" s="293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5"/>
      <c r="B20" s="216"/>
      <c r="C20" s="292"/>
      <c r="D20" s="292"/>
      <c r="E20" s="292"/>
      <c r="F20" s="292"/>
      <c r="G20" s="292"/>
      <c r="H20" s="292"/>
      <c r="I20" s="292"/>
      <c r="J20" s="292"/>
      <c r="K20" s="292"/>
      <c r="L20" s="292"/>
      <c r="M20" s="293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5"/>
      <c r="B21" s="216"/>
      <c r="C21" s="292"/>
      <c r="D21" s="292"/>
      <c r="E21" s="292"/>
      <c r="F21" s="292"/>
      <c r="G21" s="292"/>
      <c r="H21" s="292"/>
      <c r="I21" s="292"/>
      <c r="J21" s="292"/>
      <c r="K21" s="292"/>
      <c r="L21" s="292"/>
      <c r="M21" s="293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5"/>
      <c r="B22" s="216"/>
      <c r="C22" s="292"/>
      <c r="D22" s="292"/>
      <c r="E22" s="292"/>
      <c r="F22" s="292"/>
      <c r="G22" s="292"/>
      <c r="H22" s="292"/>
      <c r="I22" s="292"/>
      <c r="J22" s="292"/>
      <c r="K22" s="292"/>
      <c r="L22" s="292"/>
      <c r="M22" s="293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5"/>
      <c r="B23" s="216"/>
      <c r="C23" s="292"/>
      <c r="D23" s="292"/>
      <c r="E23" s="292"/>
      <c r="F23" s="292"/>
      <c r="G23" s="292"/>
      <c r="H23" s="292"/>
      <c r="I23" s="292"/>
      <c r="J23" s="292"/>
      <c r="K23" s="292"/>
      <c r="L23" s="292"/>
      <c r="M23" s="293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5"/>
      <c r="B24" s="216"/>
      <c r="C24" s="292"/>
      <c r="D24" s="292"/>
      <c r="E24" s="292"/>
      <c r="F24" s="292"/>
      <c r="G24" s="292"/>
      <c r="H24" s="292"/>
      <c r="I24" s="292"/>
      <c r="J24" s="292"/>
      <c r="K24" s="292"/>
      <c r="L24" s="292"/>
      <c r="M24" s="293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5"/>
      <c r="B25" s="216"/>
      <c r="C25" s="292"/>
      <c r="D25" s="292"/>
      <c r="E25" s="292"/>
      <c r="F25" s="292"/>
      <c r="G25" s="292"/>
      <c r="H25" s="292"/>
      <c r="I25" s="292"/>
      <c r="J25" s="292"/>
      <c r="K25" s="292"/>
      <c r="L25" s="292"/>
      <c r="M25" s="293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5"/>
      <c r="B26" s="216"/>
      <c r="C26" s="292"/>
      <c r="D26" s="292"/>
      <c r="E26" s="292"/>
      <c r="F26" s="292"/>
      <c r="G26" s="292"/>
      <c r="H26" s="292"/>
      <c r="I26" s="292"/>
      <c r="J26" s="292"/>
      <c r="K26" s="292"/>
      <c r="L26" s="292"/>
      <c r="M26" s="293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5"/>
      <c r="B27" s="216"/>
      <c r="C27" s="292"/>
      <c r="D27" s="292"/>
      <c r="E27" s="292"/>
      <c r="F27" s="292"/>
      <c r="G27" s="292"/>
      <c r="H27" s="292"/>
      <c r="I27" s="292"/>
      <c r="J27" s="292"/>
      <c r="K27" s="292"/>
      <c r="L27" s="292"/>
      <c r="M27" s="293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5"/>
      <c r="B28" s="216"/>
      <c r="C28" s="292"/>
      <c r="D28" s="292"/>
      <c r="E28" s="292"/>
      <c r="F28" s="292"/>
      <c r="G28" s="292"/>
      <c r="H28" s="292"/>
      <c r="I28" s="292"/>
      <c r="J28" s="292"/>
      <c r="K28" s="292"/>
      <c r="L28" s="292"/>
      <c r="M28" s="293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5"/>
      <c r="B29" s="216"/>
      <c r="C29" s="292"/>
      <c r="D29" s="292"/>
      <c r="E29" s="292"/>
      <c r="F29" s="292"/>
      <c r="G29" s="292"/>
      <c r="H29" s="292"/>
      <c r="I29" s="292"/>
      <c r="J29" s="292"/>
      <c r="K29" s="292"/>
      <c r="L29" s="292"/>
      <c r="M29" s="293"/>
      <c r="N29" s="208"/>
      <c r="O29" s="208"/>
      <c r="P29" s="298"/>
      <c r="Q29" s="298"/>
      <c r="R29" s="298"/>
      <c r="S29" s="298"/>
      <c r="T29" s="298"/>
      <c r="U29" s="298"/>
      <c r="V29" s="298"/>
      <c r="W29" s="298"/>
      <c r="X29" s="298"/>
      <c r="Y29" s="298"/>
      <c r="Z29" s="298"/>
      <c r="AA29" s="204"/>
      <c r="AB29" s="204"/>
      <c r="AC29" s="297"/>
      <c r="AD29" s="297"/>
      <c r="AE29" s="297"/>
      <c r="AF29" s="297"/>
      <c r="AG29" s="297"/>
      <c r="AH29" s="297"/>
      <c r="AI29" s="297"/>
      <c r="AJ29" s="297"/>
      <c r="AK29" s="297"/>
      <c r="AL29" s="297"/>
      <c r="AM29" s="297"/>
      <c r="AN29" s="204"/>
      <c r="AO29" s="204"/>
      <c r="AP29" s="297"/>
      <c r="AQ29" s="297"/>
      <c r="AR29" s="297"/>
      <c r="AS29" s="297"/>
      <c r="AT29" s="297"/>
      <c r="AU29" s="297"/>
      <c r="AV29" s="297"/>
      <c r="AW29" s="297"/>
      <c r="AX29" s="297"/>
      <c r="AY29" s="297"/>
      <c r="AZ29" s="297"/>
      <c r="BA29" s="204"/>
      <c r="BB29" s="204"/>
      <c r="BC29" s="297"/>
      <c r="BD29" s="297"/>
      <c r="BE29" s="297"/>
      <c r="BF29" s="297"/>
      <c r="BG29" s="297"/>
      <c r="BH29" s="297"/>
      <c r="BI29" s="297"/>
      <c r="BJ29" s="297"/>
      <c r="BK29" s="297"/>
      <c r="BL29" s="297"/>
      <c r="BM29" s="297"/>
      <c r="BN29" s="204"/>
      <c r="BO29" s="204"/>
      <c r="BP29" s="297"/>
      <c r="BQ29" s="297"/>
      <c r="BR29" s="297"/>
      <c r="BS29" s="297"/>
      <c r="BT29" s="297"/>
      <c r="BU29" s="297"/>
      <c r="BV29" s="297"/>
      <c r="BW29" s="297"/>
      <c r="BX29" s="297"/>
      <c r="BY29" s="297"/>
      <c r="BZ29" s="297"/>
      <c r="CA29" s="204"/>
      <c r="CB29" s="204"/>
      <c r="CC29" s="297"/>
      <c r="CD29" s="297"/>
      <c r="CE29" s="297"/>
      <c r="CF29" s="297"/>
      <c r="CG29" s="297"/>
      <c r="CH29" s="297"/>
      <c r="CI29" s="297"/>
      <c r="CJ29" s="297"/>
      <c r="CK29" s="297"/>
      <c r="CL29" s="297"/>
      <c r="CM29" s="297"/>
      <c r="CN29" s="204"/>
      <c r="CO29" s="204"/>
      <c r="CP29" s="297"/>
      <c r="CQ29" s="297"/>
      <c r="CR29" s="297"/>
      <c r="CS29" s="297"/>
      <c r="CT29" s="297"/>
      <c r="CU29" s="297"/>
      <c r="CV29" s="297"/>
      <c r="CW29" s="297"/>
      <c r="CX29" s="297"/>
      <c r="CY29" s="297"/>
      <c r="CZ29" s="297"/>
      <c r="DA29" s="204"/>
      <c r="DB29" s="204"/>
      <c r="DC29" s="297"/>
      <c r="DD29" s="297"/>
      <c r="DE29" s="297"/>
      <c r="DF29" s="297"/>
      <c r="DG29" s="297"/>
      <c r="DH29" s="297"/>
      <c r="DI29" s="297"/>
      <c r="DJ29" s="297"/>
      <c r="DK29" s="297"/>
      <c r="DL29" s="297"/>
      <c r="DM29" s="297"/>
      <c r="DN29" s="204"/>
      <c r="DO29" s="204"/>
      <c r="DP29" s="297"/>
      <c r="DQ29" s="297"/>
      <c r="DR29" s="297"/>
      <c r="DS29" s="297"/>
      <c r="DT29" s="297"/>
      <c r="DU29" s="297"/>
      <c r="DV29" s="297"/>
      <c r="DW29" s="297"/>
      <c r="DX29" s="297"/>
      <c r="DY29" s="297"/>
      <c r="DZ29" s="297"/>
      <c r="EA29" s="204"/>
      <c r="EB29" s="204"/>
      <c r="EC29" s="297"/>
      <c r="ED29" s="297"/>
      <c r="EE29" s="297"/>
      <c r="EF29" s="297"/>
      <c r="EG29" s="297"/>
      <c r="EH29" s="297"/>
      <c r="EI29" s="297"/>
      <c r="EJ29" s="297"/>
      <c r="EK29" s="297"/>
      <c r="EL29" s="297"/>
      <c r="EM29" s="297"/>
      <c r="EN29" s="204"/>
      <c r="EO29" s="204"/>
      <c r="EP29" s="297"/>
      <c r="EQ29" s="297"/>
      <c r="ER29" s="297"/>
      <c r="ES29" s="297"/>
      <c r="ET29" s="297"/>
      <c r="EU29" s="297"/>
      <c r="EV29" s="297"/>
      <c r="EW29" s="297"/>
      <c r="EX29" s="297"/>
      <c r="EY29" s="297"/>
      <c r="EZ29" s="297"/>
      <c r="FA29" s="204"/>
      <c r="FB29" s="204"/>
      <c r="FC29" s="297"/>
      <c r="FD29" s="297"/>
      <c r="FE29" s="297"/>
      <c r="FF29" s="297"/>
      <c r="FG29" s="297"/>
      <c r="FH29" s="297"/>
      <c r="FI29" s="297"/>
      <c r="FJ29" s="297"/>
      <c r="FK29" s="297"/>
      <c r="FL29" s="297"/>
      <c r="FM29" s="297"/>
      <c r="FN29" s="204"/>
      <c r="FO29" s="204"/>
      <c r="FP29" s="297"/>
      <c r="FQ29" s="297"/>
      <c r="FR29" s="297"/>
      <c r="FS29" s="297"/>
      <c r="FT29" s="297"/>
      <c r="FU29" s="297"/>
      <c r="FV29" s="297"/>
      <c r="FW29" s="297"/>
      <c r="FX29" s="297"/>
      <c r="FY29" s="297"/>
      <c r="FZ29" s="297"/>
      <c r="GA29" s="204"/>
      <c r="GB29" s="204"/>
      <c r="GC29" s="297"/>
      <c r="GD29" s="297"/>
      <c r="GE29" s="297"/>
      <c r="GF29" s="297"/>
      <c r="GG29" s="297"/>
      <c r="GH29" s="297"/>
      <c r="GI29" s="297"/>
      <c r="GJ29" s="297"/>
      <c r="GK29" s="297"/>
      <c r="GL29" s="297"/>
      <c r="GM29" s="297"/>
      <c r="GN29" s="204"/>
      <c r="GO29" s="204"/>
      <c r="GP29" s="297"/>
      <c r="GQ29" s="297"/>
      <c r="GR29" s="297"/>
      <c r="GS29" s="297"/>
      <c r="GT29" s="297"/>
      <c r="GU29" s="297"/>
      <c r="GV29" s="297"/>
      <c r="GW29" s="297"/>
      <c r="GX29" s="297"/>
      <c r="GY29" s="297"/>
      <c r="GZ29" s="297"/>
      <c r="HA29" s="204"/>
      <c r="HB29" s="204"/>
      <c r="HC29" s="297"/>
      <c r="HD29" s="297"/>
      <c r="HE29" s="297"/>
      <c r="HF29" s="297"/>
      <c r="HG29" s="297"/>
      <c r="HH29" s="297"/>
      <c r="HI29" s="297"/>
      <c r="HJ29" s="297"/>
      <c r="HK29" s="297"/>
      <c r="HL29" s="297"/>
      <c r="HM29" s="297"/>
      <c r="HN29" s="204"/>
      <c r="HO29" s="204"/>
      <c r="HP29" s="297"/>
      <c r="HQ29" s="297"/>
      <c r="HR29" s="297"/>
      <c r="HS29" s="297"/>
      <c r="HT29" s="297"/>
      <c r="HU29" s="297"/>
      <c r="HV29" s="297"/>
      <c r="HW29" s="297"/>
      <c r="HX29" s="297"/>
      <c r="HY29" s="297"/>
      <c r="HZ29" s="297"/>
      <c r="IA29" s="204"/>
      <c r="IB29" s="204"/>
      <c r="IC29" s="297"/>
      <c r="ID29" s="297"/>
      <c r="IE29" s="297"/>
      <c r="IF29" s="297"/>
      <c r="IG29" s="297"/>
      <c r="IH29" s="297"/>
      <c r="II29" s="297"/>
      <c r="IJ29" s="297"/>
      <c r="IK29" s="297"/>
      <c r="IL29" s="297"/>
      <c r="IM29" s="297"/>
      <c r="IN29" s="204"/>
      <c r="IO29" s="204"/>
      <c r="IP29" s="297"/>
      <c r="IQ29" s="297"/>
      <c r="IR29" s="297"/>
      <c r="IS29" s="297"/>
      <c r="IT29" s="297"/>
      <c r="IU29" s="297"/>
      <c r="IV29" s="297"/>
    </row>
    <row r="30" spans="1:256" x14ac:dyDescent="0.2">
      <c r="A30" s="215"/>
      <c r="B30" s="216"/>
      <c r="C30" s="292"/>
      <c r="D30" s="292"/>
      <c r="E30" s="292"/>
      <c r="F30" s="292"/>
      <c r="G30" s="292"/>
      <c r="H30" s="292"/>
      <c r="I30" s="292"/>
      <c r="J30" s="292"/>
      <c r="K30" s="292"/>
      <c r="L30" s="292"/>
      <c r="M30" s="293"/>
      <c r="N30" s="208"/>
      <c r="O30" s="208"/>
      <c r="P30" s="298"/>
      <c r="Q30" s="298"/>
      <c r="R30" s="298"/>
      <c r="S30" s="298"/>
      <c r="T30" s="298"/>
      <c r="U30" s="298"/>
      <c r="V30" s="298"/>
      <c r="W30" s="298"/>
      <c r="X30" s="298"/>
      <c r="Y30" s="298"/>
      <c r="Z30" s="298"/>
      <c r="AA30" s="204"/>
      <c r="AB30" s="204"/>
      <c r="AC30" s="297"/>
      <c r="AD30" s="297"/>
      <c r="AE30" s="297"/>
      <c r="AF30" s="297"/>
      <c r="AG30" s="297"/>
      <c r="AH30" s="297"/>
      <c r="AI30" s="297"/>
      <c r="AJ30" s="297"/>
      <c r="AK30" s="297"/>
      <c r="AL30" s="297"/>
      <c r="AM30" s="297"/>
      <c r="AN30" s="204"/>
      <c r="AO30" s="204"/>
      <c r="AP30" s="297"/>
      <c r="AQ30" s="297"/>
      <c r="AR30" s="297"/>
      <c r="AS30" s="297"/>
      <c r="AT30" s="297"/>
      <c r="AU30" s="297"/>
      <c r="AV30" s="297"/>
      <c r="AW30" s="297"/>
      <c r="AX30" s="297"/>
      <c r="AY30" s="297"/>
      <c r="AZ30" s="297"/>
      <c r="BA30" s="204"/>
      <c r="BB30" s="204"/>
      <c r="BC30" s="297"/>
      <c r="BD30" s="297"/>
      <c r="BE30" s="297"/>
      <c r="BF30" s="297"/>
      <c r="BG30" s="297"/>
      <c r="BH30" s="297"/>
      <c r="BI30" s="297"/>
      <c r="BJ30" s="297"/>
      <c r="BK30" s="297"/>
      <c r="BL30" s="297"/>
      <c r="BM30" s="297"/>
      <c r="BN30" s="204"/>
      <c r="BO30" s="204"/>
      <c r="BP30" s="297"/>
      <c r="BQ30" s="297"/>
      <c r="BR30" s="297"/>
      <c r="BS30" s="297"/>
      <c r="BT30" s="297"/>
      <c r="BU30" s="297"/>
      <c r="BV30" s="297"/>
      <c r="BW30" s="297"/>
      <c r="BX30" s="297"/>
      <c r="BY30" s="297"/>
      <c r="BZ30" s="297"/>
      <c r="CA30" s="204"/>
      <c r="CB30" s="204"/>
      <c r="CC30" s="297"/>
      <c r="CD30" s="297"/>
      <c r="CE30" s="297"/>
      <c r="CF30" s="297"/>
      <c r="CG30" s="297"/>
      <c r="CH30" s="297"/>
      <c r="CI30" s="297"/>
      <c r="CJ30" s="297"/>
      <c r="CK30" s="297"/>
      <c r="CL30" s="297"/>
      <c r="CM30" s="297"/>
      <c r="CN30" s="204"/>
      <c r="CO30" s="204"/>
      <c r="CP30" s="297"/>
      <c r="CQ30" s="297"/>
      <c r="CR30" s="297"/>
      <c r="CS30" s="297"/>
      <c r="CT30" s="297"/>
      <c r="CU30" s="297"/>
      <c r="CV30" s="297"/>
      <c r="CW30" s="297"/>
      <c r="CX30" s="297"/>
      <c r="CY30" s="297"/>
      <c r="CZ30" s="297"/>
      <c r="DA30" s="204"/>
      <c r="DB30" s="204"/>
      <c r="DC30" s="297"/>
      <c r="DD30" s="297"/>
      <c r="DE30" s="297"/>
      <c r="DF30" s="297"/>
      <c r="DG30" s="297"/>
      <c r="DH30" s="297"/>
      <c r="DI30" s="297"/>
      <c r="DJ30" s="297"/>
      <c r="DK30" s="297"/>
      <c r="DL30" s="297"/>
      <c r="DM30" s="297"/>
      <c r="DN30" s="204"/>
      <c r="DO30" s="204"/>
      <c r="DP30" s="297"/>
      <c r="DQ30" s="297"/>
      <c r="DR30" s="297"/>
      <c r="DS30" s="297"/>
      <c r="DT30" s="297"/>
      <c r="DU30" s="297"/>
      <c r="DV30" s="297"/>
      <c r="DW30" s="297"/>
      <c r="DX30" s="297"/>
      <c r="DY30" s="297"/>
      <c r="DZ30" s="297"/>
      <c r="EA30" s="204"/>
      <c r="EB30" s="204"/>
      <c r="EC30" s="297"/>
      <c r="ED30" s="297"/>
      <c r="EE30" s="297"/>
      <c r="EF30" s="297"/>
      <c r="EG30" s="297"/>
      <c r="EH30" s="297"/>
      <c r="EI30" s="297"/>
      <c r="EJ30" s="297"/>
      <c r="EK30" s="297"/>
      <c r="EL30" s="297"/>
      <c r="EM30" s="297"/>
      <c r="EN30" s="204"/>
      <c r="EO30" s="204"/>
      <c r="EP30" s="297"/>
      <c r="EQ30" s="297"/>
      <c r="ER30" s="297"/>
      <c r="ES30" s="297"/>
      <c r="ET30" s="297"/>
      <c r="EU30" s="297"/>
      <c r="EV30" s="297"/>
      <c r="EW30" s="297"/>
      <c r="EX30" s="297"/>
      <c r="EY30" s="297"/>
      <c r="EZ30" s="297"/>
      <c r="FA30" s="204"/>
      <c r="FB30" s="204"/>
      <c r="FC30" s="297"/>
      <c r="FD30" s="297"/>
      <c r="FE30" s="297"/>
      <c r="FF30" s="297"/>
      <c r="FG30" s="297"/>
      <c r="FH30" s="297"/>
      <c r="FI30" s="297"/>
      <c r="FJ30" s="297"/>
      <c r="FK30" s="297"/>
      <c r="FL30" s="297"/>
      <c r="FM30" s="297"/>
      <c r="FN30" s="204"/>
      <c r="FO30" s="204"/>
      <c r="FP30" s="297"/>
      <c r="FQ30" s="297"/>
      <c r="FR30" s="297"/>
      <c r="FS30" s="297"/>
      <c r="FT30" s="297"/>
      <c r="FU30" s="297"/>
      <c r="FV30" s="297"/>
      <c r="FW30" s="297"/>
      <c r="FX30" s="297"/>
      <c r="FY30" s="297"/>
      <c r="FZ30" s="297"/>
      <c r="GA30" s="204"/>
      <c r="GB30" s="204"/>
      <c r="GC30" s="297"/>
      <c r="GD30" s="297"/>
      <c r="GE30" s="297"/>
      <c r="GF30" s="297"/>
      <c r="GG30" s="297"/>
      <c r="GH30" s="297"/>
      <c r="GI30" s="297"/>
      <c r="GJ30" s="297"/>
      <c r="GK30" s="297"/>
      <c r="GL30" s="297"/>
      <c r="GM30" s="297"/>
      <c r="GN30" s="204"/>
      <c r="GO30" s="204"/>
      <c r="GP30" s="297"/>
      <c r="GQ30" s="297"/>
      <c r="GR30" s="297"/>
      <c r="GS30" s="297"/>
      <c r="GT30" s="297"/>
      <c r="GU30" s="297"/>
      <c r="GV30" s="297"/>
      <c r="GW30" s="297"/>
      <c r="GX30" s="297"/>
      <c r="GY30" s="297"/>
      <c r="GZ30" s="297"/>
      <c r="HA30" s="204"/>
      <c r="HB30" s="204"/>
      <c r="HC30" s="297"/>
      <c r="HD30" s="297"/>
      <c r="HE30" s="297"/>
      <c r="HF30" s="297"/>
      <c r="HG30" s="297"/>
      <c r="HH30" s="297"/>
      <c r="HI30" s="297"/>
      <c r="HJ30" s="297"/>
      <c r="HK30" s="297"/>
      <c r="HL30" s="297"/>
      <c r="HM30" s="297"/>
      <c r="HN30" s="204"/>
      <c r="HO30" s="204"/>
      <c r="HP30" s="297"/>
      <c r="HQ30" s="297"/>
      <c r="HR30" s="297"/>
      <c r="HS30" s="297"/>
      <c r="HT30" s="297"/>
      <c r="HU30" s="297"/>
      <c r="HV30" s="297"/>
      <c r="HW30" s="297"/>
      <c r="HX30" s="297"/>
      <c r="HY30" s="297"/>
      <c r="HZ30" s="297"/>
      <c r="IA30" s="204"/>
      <c r="IB30" s="204"/>
      <c r="IC30" s="297"/>
      <c r="ID30" s="297"/>
      <c r="IE30" s="297"/>
      <c r="IF30" s="297"/>
      <c r="IG30" s="297"/>
      <c r="IH30" s="297"/>
      <c r="II30" s="297"/>
      <c r="IJ30" s="297"/>
      <c r="IK30" s="297"/>
      <c r="IL30" s="297"/>
      <c r="IM30" s="297"/>
      <c r="IN30" s="204"/>
      <c r="IO30" s="204"/>
      <c r="IP30" s="297"/>
      <c r="IQ30" s="297"/>
      <c r="IR30" s="297"/>
      <c r="IS30" s="297"/>
      <c r="IT30" s="297"/>
      <c r="IU30" s="297"/>
      <c r="IV30" s="297"/>
    </row>
    <row r="31" spans="1:256" x14ac:dyDescent="0.2">
      <c r="A31" s="215"/>
      <c r="B31" s="216"/>
      <c r="C31" s="292"/>
      <c r="D31" s="292"/>
      <c r="E31" s="292"/>
      <c r="F31" s="292"/>
      <c r="G31" s="292"/>
      <c r="H31" s="292"/>
      <c r="I31" s="292"/>
      <c r="J31" s="292"/>
      <c r="K31" s="292"/>
      <c r="L31" s="292"/>
      <c r="M31" s="293"/>
      <c r="N31" s="208"/>
      <c r="O31" s="208"/>
      <c r="P31" s="298"/>
      <c r="Q31" s="298"/>
      <c r="R31" s="298"/>
      <c r="S31" s="298"/>
      <c r="T31" s="298"/>
      <c r="U31" s="298"/>
      <c r="V31" s="298"/>
      <c r="W31" s="298"/>
      <c r="X31" s="298"/>
      <c r="Y31" s="298"/>
      <c r="Z31" s="298"/>
      <c r="AA31" s="204"/>
      <c r="AB31" s="204"/>
      <c r="AC31" s="297"/>
      <c r="AD31" s="297"/>
      <c r="AE31" s="297"/>
      <c r="AF31" s="297"/>
      <c r="AG31" s="297"/>
      <c r="AH31" s="297"/>
      <c r="AI31" s="297"/>
      <c r="AJ31" s="297"/>
      <c r="AK31" s="297"/>
      <c r="AL31" s="297"/>
      <c r="AM31" s="297"/>
      <c r="AN31" s="204"/>
      <c r="AO31" s="204"/>
      <c r="AP31" s="297"/>
      <c r="AQ31" s="297"/>
      <c r="AR31" s="297"/>
      <c r="AS31" s="297"/>
      <c r="AT31" s="297"/>
      <c r="AU31" s="297"/>
      <c r="AV31" s="297"/>
      <c r="AW31" s="297"/>
      <c r="AX31" s="297"/>
      <c r="AY31" s="297"/>
      <c r="AZ31" s="297"/>
      <c r="BA31" s="204"/>
      <c r="BB31" s="204"/>
      <c r="BC31" s="297"/>
      <c r="BD31" s="297"/>
      <c r="BE31" s="297"/>
      <c r="BF31" s="297"/>
      <c r="BG31" s="297"/>
      <c r="BH31" s="297"/>
      <c r="BI31" s="297"/>
      <c r="BJ31" s="297"/>
      <c r="BK31" s="297"/>
      <c r="BL31" s="297"/>
      <c r="BM31" s="297"/>
      <c r="BN31" s="204"/>
      <c r="BO31" s="204"/>
      <c r="BP31" s="297"/>
      <c r="BQ31" s="297"/>
      <c r="BR31" s="297"/>
      <c r="BS31" s="297"/>
      <c r="BT31" s="297"/>
      <c r="BU31" s="297"/>
      <c r="BV31" s="297"/>
      <c r="BW31" s="297"/>
      <c r="BX31" s="297"/>
      <c r="BY31" s="297"/>
      <c r="BZ31" s="297"/>
      <c r="CA31" s="204"/>
      <c r="CB31" s="204"/>
      <c r="CC31" s="297"/>
      <c r="CD31" s="297"/>
      <c r="CE31" s="297"/>
      <c r="CF31" s="297"/>
      <c r="CG31" s="297"/>
      <c r="CH31" s="297"/>
      <c r="CI31" s="297"/>
      <c r="CJ31" s="297"/>
      <c r="CK31" s="297"/>
      <c r="CL31" s="297"/>
      <c r="CM31" s="297"/>
      <c r="CN31" s="204"/>
      <c r="CO31" s="204"/>
      <c r="CP31" s="297"/>
      <c r="CQ31" s="297"/>
      <c r="CR31" s="297"/>
      <c r="CS31" s="297"/>
      <c r="CT31" s="297"/>
      <c r="CU31" s="297"/>
      <c r="CV31" s="297"/>
      <c r="CW31" s="297"/>
      <c r="CX31" s="297"/>
      <c r="CY31" s="297"/>
      <c r="CZ31" s="297"/>
      <c r="DA31" s="204"/>
      <c r="DB31" s="204"/>
      <c r="DC31" s="297"/>
      <c r="DD31" s="297"/>
      <c r="DE31" s="297"/>
      <c r="DF31" s="297"/>
      <c r="DG31" s="297"/>
      <c r="DH31" s="297"/>
      <c r="DI31" s="297"/>
      <c r="DJ31" s="297"/>
      <c r="DK31" s="297"/>
      <c r="DL31" s="297"/>
      <c r="DM31" s="297"/>
      <c r="DN31" s="204"/>
      <c r="DO31" s="204"/>
      <c r="DP31" s="297"/>
      <c r="DQ31" s="297"/>
      <c r="DR31" s="297"/>
      <c r="DS31" s="297"/>
      <c r="DT31" s="297"/>
      <c r="DU31" s="297"/>
      <c r="DV31" s="297"/>
      <c r="DW31" s="297"/>
      <c r="DX31" s="297"/>
      <c r="DY31" s="297"/>
      <c r="DZ31" s="297"/>
      <c r="EA31" s="204"/>
      <c r="EB31" s="204"/>
      <c r="EC31" s="297"/>
      <c r="ED31" s="297"/>
      <c r="EE31" s="297"/>
      <c r="EF31" s="297"/>
      <c r="EG31" s="297"/>
      <c r="EH31" s="297"/>
      <c r="EI31" s="297"/>
      <c r="EJ31" s="297"/>
      <c r="EK31" s="297"/>
      <c r="EL31" s="297"/>
      <c r="EM31" s="297"/>
      <c r="EN31" s="204"/>
      <c r="EO31" s="204"/>
      <c r="EP31" s="297"/>
      <c r="EQ31" s="297"/>
      <c r="ER31" s="297"/>
      <c r="ES31" s="297"/>
      <c r="ET31" s="297"/>
      <c r="EU31" s="297"/>
      <c r="EV31" s="297"/>
      <c r="EW31" s="297"/>
      <c r="EX31" s="297"/>
      <c r="EY31" s="297"/>
      <c r="EZ31" s="297"/>
      <c r="FA31" s="204"/>
      <c r="FB31" s="204"/>
      <c r="FC31" s="297"/>
      <c r="FD31" s="297"/>
      <c r="FE31" s="297"/>
      <c r="FF31" s="297"/>
      <c r="FG31" s="297"/>
      <c r="FH31" s="297"/>
      <c r="FI31" s="297"/>
      <c r="FJ31" s="297"/>
      <c r="FK31" s="297"/>
      <c r="FL31" s="297"/>
      <c r="FM31" s="297"/>
      <c r="FN31" s="204"/>
      <c r="FO31" s="204"/>
      <c r="FP31" s="297"/>
      <c r="FQ31" s="297"/>
      <c r="FR31" s="297"/>
      <c r="FS31" s="297"/>
      <c r="FT31" s="297"/>
      <c r="FU31" s="297"/>
      <c r="FV31" s="297"/>
      <c r="FW31" s="297"/>
      <c r="FX31" s="297"/>
      <c r="FY31" s="297"/>
      <c r="FZ31" s="297"/>
      <c r="GA31" s="204"/>
      <c r="GB31" s="204"/>
      <c r="GC31" s="297"/>
      <c r="GD31" s="297"/>
      <c r="GE31" s="297"/>
      <c r="GF31" s="297"/>
      <c r="GG31" s="297"/>
      <c r="GH31" s="297"/>
      <c r="GI31" s="297"/>
      <c r="GJ31" s="297"/>
      <c r="GK31" s="297"/>
      <c r="GL31" s="297"/>
      <c r="GM31" s="297"/>
      <c r="GN31" s="204"/>
      <c r="GO31" s="204"/>
      <c r="GP31" s="297"/>
      <c r="GQ31" s="297"/>
      <c r="GR31" s="297"/>
      <c r="GS31" s="297"/>
      <c r="GT31" s="297"/>
      <c r="GU31" s="297"/>
      <c r="GV31" s="297"/>
      <c r="GW31" s="297"/>
      <c r="GX31" s="297"/>
      <c r="GY31" s="297"/>
      <c r="GZ31" s="297"/>
      <c r="HA31" s="204"/>
      <c r="HB31" s="204"/>
      <c r="HC31" s="297"/>
      <c r="HD31" s="297"/>
      <c r="HE31" s="297"/>
      <c r="HF31" s="297"/>
      <c r="HG31" s="297"/>
      <c r="HH31" s="297"/>
      <c r="HI31" s="297"/>
      <c r="HJ31" s="297"/>
      <c r="HK31" s="297"/>
      <c r="HL31" s="297"/>
      <c r="HM31" s="297"/>
      <c r="HN31" s="204"/>
      <c r="HO31" s="204"/>
      <c r="HP31" s="297"/>
      <c r="HQ31" s="297"/>
      <c r="HR31" s="297"/>
      <c r="HS31" s="297"/>
      <c r="HT31" s="297"/>
      <c r="HU31" s="297"/>
      <c r="HV31" s="297"/>
      <c r="HW31" s="297"/>
      <c r="HX31" s="297"/>
      <c r="HY31" s="297"/>
      <c r="HZ31" s="297"/>
      <c r="IA31" s="204"/>
      <c r="IB31" s="204"/>
      <c r="IC31" s="297"/>
      <c r="ID31" s="297"/>
      <c r="IE31" s="297"/>
      <c r="IF31" s="297"/>
      <c r="IG31" s="297"/>
      <c r="IH31" s="297"/>
      <c r="II31" s="297"/>
      <c r="IJ31" s="297"/>
      <c r="IK31" s="297"/>
      <c r="IL31" s="297"/>
      <c r="IM31" s="297"/>
      <c r="IN31" s="204"/>
      <c r="IO31" s="204"/>
      <c r="IP31" s="297"/>
      <c r="IQ31" s="297"/>
      <c r="IR31" s="297"/>
      <c r="IS31" s="297"/>
      <c r="IT31" s="297"/>
      <c r="IU31" s="297"/>
      <c r="IV31" s="297"/>
    </row>
    <row r="32" spans="1:256" x14ac:dyDescent="0.2">
      <c r="A32" s="215"/>
      <c r="B32" s="216"/>
      <c r="C32" s="292"/>
      <c r="D32" s="292"/>
      <c r="E32" s="292"/>
      <c r="F32" s="292"/>
      <c r="G32" s="292"/>
      <c r="H32" s="292"/>
      <c r="I32" s="292"/>
      <c r="J32" s="292"/>
      <c r="K32" s="292"/>
      <c r="L32" s="292"/>
      <c r="M32" s="293"/>
      <c r="N32" s="220"/>
      <c r="O32" s="220"/>
      <c r="P32" s="299"/>
      <c r="Q32" s="299"/>
      <c r="R32" s="299"/>
      <c r="S32" s="299"/>
      <c r="T32" s="299"/>
      <c r="U32" s="299"/>
      <c r="V32" s="299"/>
      <c r="W32" s="299"/>
      <c r="X32" s="299"/>
      <c r="Y32" s="299"/>
      <c r="Z32" s="300"/>
      <c r="AA32" s="215"/>
      <c r="AB32" s="216"/>
      <c r="AC32" s="292"/>
      <c r="AD32" s="292"/>
      <c r="AE32" s="292"/>
      <c r="AF32" s="292"/>
      <c r="AG32" s="292"/>
      <c r="AH32" s="292"/>
      <c r="AI32" s="292"/>
      <c r="AJ32" s="292"/>
      <c r="AK32" s="292"/>
      <c r="AL32" s="292"/>
      <c r="AM32" s="293"/>
      <c r="AN32" s="215"/>
      <c r="AO32" s="216"/>
      <c r="AP32" s="292"/>
      <c r="AQ32" s="292"/>
      <c r="AR32" s="292"/>
      <c r="AS32" s="292"/>
      <c r="AT32" s="292"/>
      <c r="AU32" s="292"/>
      <c r="AV32" s="292"/>
      <c r="AW32" s="292"/>
      <c r="AX32" s="292"/>
      <c r="AY32" s="292"/>
      <c r="AZ32" s="293"/>
      <c r="BA32" s="215"/>
      <c r="BB32" s="216"/>
      <c r="BC32" s="292"/>
      <c r="BD32" s="292"/>
      <c r="BE32" s="292"/>
      <c r="BF32" s="292"/>
      <c r="BG32" s="292"/>
      <c r="BH32" s="292"/>
      <c r="BI32" s="292"/>
      <c r="BJ32" s="292"/>
      <c r="BK32" s="292"/>
      <c r="BL32" s="292"/>
      <c r="BM32" s="293"/>
      <c r="BN32" s="215"/>
      <c r="BO32" s="216"/>
      <c r="BP32" s="292"/>
      <c r="BQ32" s="292"/>
      <c r="BR32" s="292"/>
      <c r="BS32" s="292"/>
      <c r="BT32" s="292"/>
      <c r="BU32" s="292"/>
      <c r="BV32" s="292"/>
      <c r="BW32" s="292"/>
      <c r="BX32" s="292"/>
      <c r="BY32" s="292"/>
      <c r="BZ32" s="293"/>
      <c r="CA32" s="215"/>
      <c r="CB32" s="216"/>
      <c r="CC32" s="292"/>
      <c r="CD32" s="292"/>
      <c r="CE32" s="292"/>
      <c r="CF32" s="292"/>
      <c r="CG32" s="292"/>
      <c r="CH32" s="292"/>
      <c r="CI32" s="292"/>
      <c r="CJ32" s="292"/>
      <c r="CK32" s="292"/>
      <c r="CL32" s="292"/>
      <c r="CM32" s="293"/>
      <c r="CN32" s="215"/>
      <c r="CO32" s="216"/>
      <c r="CP32" s="292"/>
      <c r="CQ32" s="292"/>
      <c r="CR32" s="292"/>
      <c r="CS32" s="292"/>
      <c r="CT32" s="292"/>
      <c r="CU32" s="292"/>
      <c r="CV32" s="292"/>
      <c r="CW32" s="292"/>
      <c r="CX32" s="292"/>
      <c r="CY32" s="292"/>
      <c r="CZ32" s="293"/>
      <c r="DA32" s="215"/>
      <c r="DB32" s="216"/>
      <c r="DC32" s="292"/>
      <c r="DD32" s="292"/>
      <c r="DE32" s="292"/>
      <c r="DF32" s="292"/>
      <c r="DG32" s="292"/>
      <c r="DH32" s="292"/>
      <c r="DI32" s="292"/>
      <c r="DJ32" s="292"/>
      <c r="DK32" s="292"/>
      <c r="DL32" s="292"/>
      <c r="DM32" s="293"/>
      <c r="DN32" s="215"/>
      <c r="DO32" s="216"/>
      <c r="DP32" s="292"/>
      <c r="DQ32" s="292"/>
      <c r="DR32" s="292"/>
      <c r="DS32" s="292"/>
      <c r="DT32" s="292"/>
      <c r="DU32" s="292"/>
      <c r="DV32" s="292"/>
      <c r="DW32" s="292"/>
      <c r="DX32" s="292"/>
      <c r="DY32" s="292"/>
      <c r="DZ32" s="293"/>
      <c r="EA32" s="215"/>
      <c r="EB32" s="216"/>
      <c r="EC32" s="292"/>
      <c r="ED32" s="292"/>
      <c r="EE32" s="292"/>
      <c r="EF32" s="292"/>
      <c r="EG32" s="292"/>
      <c r="EH32" s="292"/>
      <c r="EI32" s="292"/>
      <c r="EJ32" s="292"/>
      <c r="EK32" s="292"/>
      <c r="EL32" s="292"/>
      <c r="EM32" s="293"/>
      <c r="EN32" s="215"/>
      <c r="EO32" s="216"/>
      <c r="EP32" s="292"/>
      <c r="EQ32" s="292"/>
      <c r="ER32" s="292"/>
      <c r="ES32" s="292"/>
      <c r="ET32" s="292"/>
      <c r="EU32" s="292"/>
      <c r="EV32" s="292"/>
      <c r="EW32" s="292"/>
      <c r="EX32" s="292"/>
      <c r="EY32" s="292"/>
      <c r="EZ32" s="293"/>
      <c r="FA32" s="215"/>
      <c r="FB32" s="216"/>
      <c r="FC32" s="292"/>
      <c r="FD32" s="292"/>
      <c r="FE32" s="292"/>
      <c r="FF32" s="292"/>
      <c r="FG32" s="292"/>
      <c r="FH32" s="292"/>
      <c r="FI32" s="292"/>
      <c r="FJ32" s="292"/>
      <c r="FK32" s="292"/>
      <c r="FL32" s="292"/>
      <c r="FM32" s="293"/>
      <c r="FN32" s="215"/>
      <c r="FO32" s="216"/>
      <c r="FP32" s="292"/>
      <c r="FQ32" s="292"/>
      <c r="FR32" s="292"/>
      <c r="FS32" s="292"/>
      <c r="FT32" s="292"/>
      <c r="FU32" s="292"/>
      <c r="FV32" s="292"/>
      <c r="FW32" s="292"/>
      <c r="FX32" s="292"/>
      <c r="FY32" s="292"/>
      <c r="FZ32" s="293"/>
      <c r="GA32" s="215"/>
      <c r="GB32" s="216"/>
      <c r="GC32" s="292"/>
      <c r="GD32" s="292"/>
      <c r="GE32" s="292"/>
      <c r="GF32" s="292"/>
      <c r="GG32" s="292"/>
      <c r="GH32" s="292"/>
      <c r="GI32" s="292"/>
      <c r="GJ32" s="292"/>
      <c r="GK32" s="292"/>
      <c r="GL32" s="292"/>
      <c r="GM32" s="293"/>
      <c r="GN32" s="215"/>
      <c r="GO32" s="216"/>
      <c r="GP32" s="292"/>
      <c r="GQ32" s="292"/>
      <c r="GR32" s="292"/>
      <c r="GS32" s="292"/>
      <c r="GT32" s="292"/>
      <c r="GU32" s="292"/>
      <c r="GV32" s="292"/>
      <c r="GW32" s="292"/>
      <c r="GX32" s="292"/>
      <c r="GY32" s="292"/>
      <c r="GZ32" s="293"/>
      <c r="HA32" s="215"/>
      <c r="HB32" s="216"/>
      <c r="HC32" s="292"/>
      <c r="HD32" s="292"/>
      <c r="HE32" s="292"/>
      <c r="HF32" s="292"/>
      <c r="HG32" s="292"/>
      <c r="HH32" s="292"/>
      <c r="HI32" s="292"/>
      <c r="HJ32" s="292"/>
      <c r="HK32" s="292"/>
      <c r="HL32" s="292"/>
      <c r="HM32" s="293"/>
      <c r="HN32" s="215"/>
      <c r="HO32" s="216"/>
      <c r="HP32" s="292"/>
      <c r="HQ32" s="292"/>
      <c r="HR32" s="292"/>
      <c r="HS32" s="292"/>
      <c r="HT32" s="292"/>
      <c r="HU32" s="292"/>
      <c r="HV32" s="292"/>
      <c r="HW32" s="292"/>
      <c r="HX32" s="292"/>
      <c r="HY32" s="292"/>
      <c r="HZ32" s="293"/>
      <c r="IA32" s="215"/>
      <c r="IB32" s="216"/>
      <c r="IC32" s="292"/>
      <c r="ID32" s="292"/>
      <c r="IE32" s="292"/>
      <c r="IF32" s="292"/>
      <c r="IG32" s="292"/>
      <c r="IH32" s="292"/>
      <c r="II32" s="292"/>
      <c r="IJ32" s="292"/>
      <c r="IK32" s="292"/>
      <c r="IL32" s="292"/>
      <c r="IM32" s="293"/>
      <c r="IN32" s="215"/>
      <c r="IO32" s="216"/>
      <c r="IP32" s="292"/>
      <c r="IQ32" s="292"/>
      <c r="IR32" s="292"/>
      <c r="IS32" s="292"/>
      <c r="IT32" s="292"/>
      <c r="IU32" s="292"/>
      <c r="IV32" s="292"/>
    </row>
    <row r="33" spans="1:256" x14ac:dyDescent="0.2">
      <c r="A33" s="215"/>
      <c r="B33" s="216"/>
      <c r="C33" s="292"/>
      <c r="D33" s="292"/>
      <c r="E33" s="292"/>
      <c r="F33" s="292"/>
      <c r="G33" s="292"/>
      <c r="H33" s="292"/>
      <c r="I33" s="292"/>
      <c r="J33" s="292"/>
      <c r="K33" s="292"/>
      <c r="L33" s="292"/>
      <c r="M33" s="293"/>
      <c r="N33" s="208"/>
      <c r="O33" s="208"/>
      <c r="P33" s="219"/>
      <c r="Q33" s="219"/>
      <c r="R33" s="219"/>
      <c r="S33" s="219"/>
      <c r="T33" s="219"/>
      <c r="U33" s="219"/>
      <c r="V33" s="219"/>
      <c r="W33" s="219"/>
      <c r="X33" s="219"/>
      <c r="Y33" s="219"/>
      <c r="Z33" s="219"/>
      <c r="AA33" s="204"/>
      <c r="AB33" s="204"/>
      <c r="AC33" s="209"/>
      <c r="AD33" s="209"/>
      <c r="AE33" s="209"/>
      <c r="AF33" s="209"/>
      <c r="AG33" s="209"/>
      <c r="AH33" s="209"/>
      <c r="AI33" s="209"/>
      <c r="AJ33" s="209"/>
      <c r="AK33" s="209"/>
      <c r="AL33" s="209"/>
      <c r="AM33" s="209"/>
      <c r="AN33" s="204"/>
      <c r="AO33" s="204"/>
      <c r="AP33" s="209"/>
      <c r="AQ33" s="209"/>
      <c r="AR33" s="209"/>
      <c r="AS33" s="209"/>
      <c r="AT33" s="209"/>
      <c r="AU33" s="209"/>
      <c r="AV33" s="209"/>
      <c r="AW33" s="209"/>
      <c r="AX33" s="209"/>
      <c r="AY33" s="209"/>
      <c r="AZ33" s="209"/>
      <c r="BA33" s="204"/>
      <c r="BB33" s="204"/>
      <c r="BC33" s="209"/>
      <c r="BD33" s="209"/>
      <c r="BE33" s="209"/>
      <c r="BF33" s="209"/>
      <c r="BG33" s="209"/>
      <c r="BH33" s="209"/>
      <c r="BI33" s="209"/>
      <c r="BJ33" s="209"/>
      <c r="BK33" s="209"/>
      <c r="BL33" s="209"/>
      <c r="BM33" s="209"/>
      <c r="BN33" s="204"/>
      <c r="BO33" s="204"/>
      <c r="BP33" s="209"/>
      <c r="BQ33" s="209"/>
      <c r="BR33" s="209"/>
      <c r="BS33" s="209"/>
      <c r="BT33" s="209"/>
      <c r="BU33" s="209"/>
      <c r="BV33" s="209"/>
      <c r="BW33" s="209"/>
      <c r="BX33" s="209"/>
      <c r="BY33" s="209"/>
      <c r="BZ33" s="209"/>
      <c r="CA33" s="204"/>
      <c r="CB33" s="204"/>
      <c r="CC33" s="209"/>
      <c r="CD33" s="209"/>
      <c r="CE33" s="209"/>
      <c r="CF33" s="209"/>
      <c r="CG33" s="209"/>
      <c r="CH33" s="209"/>
      <c r="CI33" s="209"/>
      <c r="CJ33" s="209"/>
      <c r="CK33" s="209"/>
      <c r="CL33" s="209"/>
      <c r="CM33" s="209"/>
      <c r="CN33" s="204"/>
      <c r="CO33" s="204"/>
      <c r="CP33" s="209"/>
      <c r="CQ33" s="209"/>
      <c r="CR33" s="209"/>
      <c r="CS33" s="209"/>
      <c r="CT33" s="209"/>
      <c r="CU33" s="209"/>
      <c r="CV33" s="209"/>
      <c r="CW33" s="209"/>
      <c r="CX33" s="209"/>
      <c r="CY33" s="209"/>
      <c r="CZ33" s="209"/>
      <c r="DA33" s="204"/>
      <c r="DB33" s="204"/>
      <c r="DC33" s="209"/>
      <c r="DD33" s="209"/>
      <c r="DE33" s="209"/>
      <c r="DF33" s="209"/>
      <c r="DG33" s="209"/>
      <c r="DH33" s="209"/>
      <c r="DI33" s="209"/>
      <c r="DJ33" s="209"/>
      <c r="DK33" s="209"/>
      <c r="DL33" s="209"/>
      <c r="DM33" s="209"/>
      <c r="DN33" s="204"/>
      <c r="DO33" s="204"/>
      <c r="DP33" s="209"/>
      <c r="DQ33" s="209"/>
      <c r="DR33" s="209"/>
      <c r="DS33" s="209"/>
      <c r="DT33" s="209"/>
      <c r="DU33" s="209"/>
      <c r="DV33" s="209"/>
      <c r="DW33" s="209"/>
      <c r="DX33" s="209"/>
      <c r="DY33" s="209"/>
      <c r="DZ33" s="209"/>
      <c r="EA33" s="204"/>
      <c r="EB33" s="204"/>
      <c r="EC33" s="209"/>
      <c r="ED33" s="209"/>
      <c r="EE33" s="209"/>
      <c r="EF33" s="209"/>
      <c r="EG33" s="209"/>
      <c r="EH33" s="209"/>
      <c r="EI33" s="209"/>
      <c r="EJ33" s="209"/>
      <c r="EK33" s="209"/>
      <c r="EL33" s="209"/>
      <c r="EM33" s="209"/>
      <c r="EN33" s="204"/>
      <c r="EO33" s="204"/>
      <c r="EP33" s="209"/>
      <c r="EQ33" s="209"/>
      <c r="ER33" s="209"/>
      <c r="ES33" s="209"/>
      <c r="ET33" s="209"/>
      <c r="EU33" s="209"/>
      <c r="EV33" s="209"/>
      <c r="EW33" s="209"/>
      <c r="EX33" s="209"/>
      <c r="EY33" s="209"/>
      <c r="EZ33" s="209"/>
      <c r="FA33" s="204"/>
      <c r="FB33" s="204"/>
      <c r="FC33" s="209"/>
      <c r="FD33" s="209"/>
      <c r="FE33" s="209"/>
      <c r="FF33" s="209"/>
      <c r="FG33" s="209"/>
      <c r="FH33" s="209"/>
      <c r="FI33" s="209"/>
      <c r="FJ33" s="209"/>
      <c r="FK33" s="209"/>
      <c r="FL33" s="209"/>
      <c r="FM33" s="209"/>
      <c r="FN33" s="204"/>
      <c r="FO33" s="204"/>
      <c r="FP33" s="209"/>
      <c r="FQ33" s="209"/>
      <c r="FR33" s="209"/>
      <c r="FS33" s="209"/>
      <c r="FT33" s="209"/>
      <c r="FU33" s="209"/>
      <c r="FV33" s="209"/>
      <c r="FW33" s="209"/>
      <c r="FX33" s="209"/>
      <c r="FY33" s="209"/>
      <c r="FZ33" s="209"/>
      <c r="GA33" s="204"/>
      <c r="GB33" s="204"/>
      <c r="GC33" s="209"/>
      <c r="GD33" s="209"/>
      <c r="GE33" s="209"/>
      <c r="GF33" s="209"/>
      <c r="GG33" s="209"/>
      <c r="GH33" s="209"/>
      <c r="GI33" s="209"/>
      <c r="GJ33" s="209"/>
      <c r="GK33" s="209"/>
      <c r="GL33" s="209"/>
      <c r="GM33" s="209"/>
      <c r="GN33" s="204"/>
      <c r="GO33" s="204"/>
      <c r="GP33" s="209"/>
      <c r="GQ33" s="209"/>
      <c r="GR33" s="209"/>
      <c r="GS33" s="209"/>
      <c r="GT33" s="209"/>
      <c r="GU33" s="209"/>
      <c r="GV33" s="209"/>
      <c r="GW33" s="209"/>
      <c r="GX33" s="209"/>
      <c r="GY33" s="209"/>
      <c r="GZ33" s="209"/>
      <c r="HA33" s="204"/>
      <c r="HB33" s="204"/>
      <c r="HC33" s="209"/>
      <c r="HD33" s="209"/>
      <c r="HE33" s="209"/>
      <c r="HF33" s="209"/>
      <c r="HG33" s="209"/>
      <c r="HH33" s="209"/>
      <c r="HI33" s="209"/>
      <c r="HJ33" s="209"/>
      <c r="HK33" s="209"/>
      <c r="HL33" s="209"/>
      <c r="HM33" s="209"/>
      <c r="HN33" s="204"/>
      <c r="HO33" s="204"/>
      <c r="HP33" s="209"/>
      <c r="HQ33" s="209"/>
      <c r="HR33" s="209"/>
      <c r="HS33" s="209"/>
      <c r="HT33" s="209"/>
      <c r="HU33" s="209"/>
      <c r="HV33" s="209"/>
      <c r="HW33" s="209"/>
      <c r="HX33" s="209"/>
      <c r="HY33" s="209"/>
      <c r="HZ33" s="209"/>
      <c r="IA33" s="204"/>
      <c r="IB33" s="204"/>
      <c r="IC33" s="209"/>
      <c r="ID33" s="209"/>
      <c r="IE33" s="209"/>
      <c r="IF33" s="209"/>
      <c r="IG33" s="209"/>
      <c r="IH33" s="209"/>
      <c r="II33" s="209"/>
      <c r="IJ33" s="209"/>
      <c r="IK33" s="209"/>
      <c r="IL33" s="209"/>
      <c r="IM33" s="209"/>
      <c r="IN33" s="204"/>
      <c r="IO33" s="204"/>
      <c r="IP33" s="209"/>
      <c r="IQ33" s="209"/>
      <c r="IR33" s="209"/>
      <c r="IS33" s="209"/>
      <c r="IT33" s="209"/>
      <c r="IU33" s="209"/>
      <c r="IV33" s="209"/>
    </row>
    <row r="34" spans="1:256" x14ac:dyDescent="0.2">
      <c r="A34" s="215"/>
      <c r="B34" s="216"/>
      <c r="C34" s="292"/>
      <c r="D34" s="292"/>
      <c r="E34" s="292"/>
      <c r="F34" s="292"/>
      <c r="G34" s="292"/>
      <c r="H34" s="292"/>
      <c r="I34" s="292"/>
      <c r="J34" s="292"/>
      <c r="K34" s="292"/>
      <c r="L34" s="292"/>
      <c r="M34" s="293"/>
      <c r="N34" s="208"/>
      <c r="O34" s="208"/>
      <c r="P34" s="219"/>
      <c r="Q34" s="219"/>
      <c r="R34" s="219"/>
      <c r="S34" s="219"/>
      <c r="T34" s="219"/>
      <c r="U34" s="219"/>
      <c r="V34" s="219"/>
      <c r="W34" s="219"/>
      <c r="X34" s="219"/>
      <c r="Y34" s="219"/>
      <c r="Z34" s="219"/>
      <c r="AA34" s="204"/>
      <c r="AB34" s="204"/>
      <c r="AC34" s="209"/>
      <c r="AD34" s="209"/>
      <c r="AE34" s="209"/>
      <c r="AF34" s="209"/>
      <c r="AG34" s="209"/>
      <c r="AH34" s="209"/>
      <c r="AI34" s="209"/>
      <c r="AJ34" s="209"/>
      <c r="AK34" s="209"/>
      <c r="AL34" s="209"/>
      <c r="AM34" s="209"/>
      <c r="AN34" s="204"/>
      <c r="AO34" s="204"/>
      <c r="AP34" s="209"/>
      <c r="AQ34" s="209"/>
      <c r="AR34" s="209"/>
      <c r="AS34" s="209"/>
      <c r="AT34" s="209"/>
      <c r="AU34" s="209"/>
      <c r="AV34" s="209"/>
      <c r="AW34" s="209"/>
      <c r="AX34" s="209"/>
      <c r="AY34" s="209"/>
      <c r="AZ34" s="209"/>
      <c r="BA34" s="204"/>
      <c r="BB34" s="204"/>
      <c r="BC34" s="209"/>
      <c r="BD34" s="209"/>
      <c r="BE34" s="209"/>
      <c r="BF34" s="209"/>
      <c r="BG34" s="209"/>
      <c r="BH34" s="209"/>
      <c r="BI34" s="209"/>
      <c r="BJ34" s="209"/>
      <c r="BK34" s="209"/>
      <c r="BL34" s="209"/>
      <c r="BM34" s="209"/>
      <c r="BN34" s="204"/>
      <c r="BO34" s="204"/>
      <c r="BP34" s="209"/>
      <c r="BQ34" s="209"/>
      <c r="BR34" s="209"/>
      <c r="BS34" s="209"/>
      <c r="BT34" s="209"/>
      <c r="BU34" s="209"/>
      <c r="BV34" s="209"/>
      <c r="BW34" s="209"/>
      <c r="BX34" s="209"/>
      <c r="BY34" s="209"/>
      <c r="BZ34" s="209"/>
      <c r="CA34" s="204"/>
      <c r="CB34" s="204"/>
      <c r="CC34" s="209"/>
      <c r="CD34" s="209"/>
      <c r="CE34" s="209"/>
      <c r="CF34" s="209"/>
      <c r="CG34" s="209"/>
      <c r="CH34" s="209"/>
      <c r="CI34" s="209"/>
      <c r="CJ34" s="209"/>
      <c r="CK34" s="209"/>
      <c r="CL34" s="209"/>
      <c r="CM34" s="209"/>
      <c r="CN34" s="204"/>
      <c r="CO34" s="204"/>
      <c r="CP34" s="209"/>
      <c r="CQ34" s="209"/>
      <c r="CR34" s="209"/>
      <c r="CS34" s="209"/>
      <c r="CT34" s="209"/>
      <c r="CU34" s="209"/>
      <c r="CV34" s="209"/>
      <c r="CW34" s="209"/>
      <c r="CX34" s="209"/>
      <c r="CY34" s="209"/>
      <c r="CZ34" s="209"/>
      <c r="DA34" s="204"/>
      <c r="DB34" s="204"/>
      <c r="DC34" s="209"/>
      <c r="DD34" s="209"/>
      <c r="DE34" s="209"/>
      <c r="DF34" s="209"/>
      <c r="DG34" s="209"/>
      <c r="DH34" s="209"/>
      <c r="DI34" s="209"/>
      <c r="DJ34" s="209"/>
      <c r="DK34" s="209"/>
      <c r="DL34" s="209"/>
      <c r="DM34" s="209"/>
      <c r="DN34" s="204"/>
      <c r="DO34" s="204"/>
      <c r="DP34" s="209"/>
      <c r="DQ34" s="209"/>
      <c r="DR34" s="209"/>
      <c r="DS34" s="209"/>
      <c r="DT34" s="209"/>
      <c r="DU34" s="209"/>
      <c r="DV34" s="209"/>
      <c r="DW34" s="209"/>
      <c r="DX34" s="209"/>
      <c r="DY34" s="209"/>
      <c r="DZ34" s="209"/>
      <c r="EA34" s="204"/>
      <c r="EB34" s="204"/>
      <c r="EC34" s="209"/>
      <c r="ED34" s="209"/>
      <c r="EE34" s="209"/>
      <c r="EF34" s="209"/>
      <c r="EG34" s="209"/>
      <c r="EH34" s="209"/>
      <c r="EI34" s="209"/>
      <c r="EJ34" s="209"/>
      <c r="EK34" s="209"/>
      <c r="EL34" s="209"/>
      <c r="EM34" s="209"/>
      <c r="EN34" s="204"/>
      <c r="EO34" s="204"/>
      <c r="EP34" s="209"/>
      <c r="EQ34" s="209"/>
      <c r="ER34" s="209"/>
      <c r="ES34" s="209"/>
      <c r="ET34" s="209"/>
      <c r="EU34" s="209"/>
      <c r="EV34" s="209"/>
      <c r="EW34" s="209"/>
      <c r="EX34" s="209"/>
      <c r="EY34" s="209"/>
      <c r="EZ34" s="209"/>
      <c r="FA34" s="204"/>
      <c r="FB34" s="204"/>
      <c r="FC34" s="209"/>
      <c r="FD34" s="209"/>
      <c r="FE34" s="209"/>
      <c r="FF34" s="209"/>
      <c r="FG34" s="209"/>
      <c r="FH34" s="209"/>
      <c r="FI34" s="209"/>
      <c r="FJ34" s="209"/>
      <c r="FK34" s="209"/>
      <c r="FL34" s="209"/>
      <c r="FM34" s="209"/>
      <c r="FN34" s="204"/>
      <c r="FO34" s="204"/>
      <c r="FP34" s="209"/>
      <c r="FQ34" s="209"/>
      <c r="FR34" s="209"/>
      <c r="FS34" s="209"/>
      <c r="FT34" s="209"/>
      <c r="FU34" s="209"/>
      <c r="FV34" s="209"/>
      <c r="FW34" s="209"/>
      <c r="FX34" s="209"/>
      <c r="FY34" s="209"/>
      <c r="FZ34" s="209"/>
      <c r="GA34" s="204"/>
      <c r="GB34" s="204"/>
      <c r="GC34" s="209"/>
      <c r="GD34" s="209"/>
      <c r="GE34" s="209"/>
      <c r="GF34" s="209"/>
      <c r="GG34" s="209"/>
      <c r="GH34" s="209"/>
      <c r="GI34" s="209"/>
      <c r="GJ34" s="209"/>
      <c r="GK34" s="209"/>
      <c r="GL34" s="209"/>
      <c r="GM34" s="209"/>
      <c r="GN34" s="204"/>
      <c r="GO34" s="204"/>
      <c r="GP34" s="209"/>
      <c r="GQ34" s="209"/>
      <c r="GR34" s="209"/>
      <c r="GS34" s="209"/>
      <c r="GT34" s="209"/>
      <c r="GU34" s="209"/>
      <c r="GV34" s="209"/>
      <c r="GW34" s="209"/>
      <c r="GX34" s="209"/>
      <c r="GY34" s="209"/>
      <c r="GZ34" s="209"/>
      <c r="HA34" s="204"/>
      <c r="HB34" s="204"/>
      <c r="HC34" s="209"/>
      <c r="HD34" s="209"/>
      <c r="HE34" s="209"/>
      <c r="HF34" s="209"/>
      <c r="HG34" s="209"/>
      <c r="HH34" s="209"/>
      <c r="HI34" s="209"/>
      <c r="HJ34" s="209"/>
      <c r="HK34" s="209"/>
      <c r="HL34" s="209"/>
      <c r="HM34" s="209"/>
      <c r="HN34" s="204"/>
      <c r="HO34" s="204"/>
      <c r="HP34" s="209"/>
      <c r="HQ34" s="209"/>
      <c r="HR34" s="209"/>
      <c r="HS34" s="209"/>
      <c r="HT34" s="209"/>
      <c r="HU34" s="209"/>
      <c r="HV34" s="209"/>
      <c r="HW34" s="209"/>
      <c r="HX34" s="209"/>
      <c r="HY34" s="209"/>
      <c r="HZ34" s="209"/>
      <c r="IA34" s="204"/>
      <c r="IB34" s="204"/>
      <c r="IC34" s="209"/>
      <c r="ID34" s="209"/>
      <c r="IE34" s="209"/>
      <c r="IF34" s="209"/>
      <c r="IG34" s="209"/>
      <c r="IH34" s="209"/>
      <c r="II34" s="209"/>
      <c r="IJ34" s="209"/>
      <c r="IK34" s="209"/>
      <c r="IL34" s="209"/>
      <c r="IM34" s="209"/>
      <c r="IN34" s="204"/>
      <c r="IO34" s="204"/>
      <c r="IP34" s="209"/>
      <c r="IQ34" s="209"/>
      <c r="IR34" s="209"/>
      <c r="IS34" s="209"/>
      <c r="IT34" s="209"/>
      <c r="IU34" s="209"/>
      <c r="IV34" s="209"/>
    </row>
    <row r="35" spans="1:256" x14ac:dyDescent="0.2">
      <c r="A35" s="215"/>
      <c r="B35" s="216"/>
      <c r="C35" s="292"/>
      <c r="D35" s="292"/>
      <c r="E35" s="292"/>
      <c r="F35" s="292"/>
      <c r="G35" s="292"/>
      <c r="H35" s="292"/>
      <c r="I35" s="292"/>
      <c r="J35" s="292"/>
      <c r="K35" s="292"/>
      <c r="L35" s="292"/>
      <c r="M35" s="293"/>
      <c r="N35" s="208"/>
      <c r="O35" s="208"/>
      <c r="P35" s="219"/>
      <c r="Q35" s="219"/>
      <c r="R35" s="219"/>
      <c r="S35" s="219"/>
      <c r="T35" s="219"/>
      <c r="U35" s="219"/>
      <c r="V35" s="219"/>
      <c r="W35" s="219"/>
      <c r="X35" s="219"/>
      <c r="Y35" s="219"/>
      <c r="Z35" s="219"/>
      <c r="AA35" s="204"/>
      <c r="AB35" s="204"/>
      <c r="AC35" s="209"/>
      <c r="AD35" s="209"/>
      <c r="AE35" s="209"/>
      <c r="AF35" s="209"/>
      <c r="AG35" s="209"/>
      <c r="AH35" s="209"/>
      <c r="AI35" s="209"/>
      <c r="AJ35" s="209"/>
      <c r="AK35" s="209"/>
      <c r="AL35" s="209"/>
      <c r="AM35" s="209"/>
      <c r="AN35" s="204"/>
      <c r="AO35" s="204"/>
      <c r="AP35" s="209"/>
      <c r="AQ35" s="209"/>
      <c r="AR35" s="209"/>
      <c r="AS35" s="209"/>
      <c r="AT35" s="209"/>
      <c r="AU35" s="209"/>
      <c r="AV35" s="209"/>
      <c r="AW35" s="209"/>
      <c r="AX35" s="209"/>
      <c r="AY35" s="209"/>
      <c r="AZ35" s="209"/>
      <c r="BA35" s="204"/>
      <c r="BB35" s="204"/>
      <c r="BC35" s="209"/>
      <c r="BD35" s="209"/>
      <c r="BE35" s="209"/>
      <c r="BF35" s="209"/>
      <c r="BG35" s="209"/>
      <c r="BH35" s="209"/>
      <c r="BI35" s="209"/>
      <c r="BJ35" s="209"/>
      <c r="BK35" s="209"/>
      <c r="BL35" s="209"/>
      <c r="BM35" s="209"/>
      <c r="BN35" s="204"/>
      <c r="BO35" s="204"/>
      <c r="BP35" s="209"/>
      <c r="BQ35" s="209"/>
      <c r="BR35" s="209"/>
      <c r="BS35" s="209"/>
      <c r="BT35" s="209"/>
      <c r="BU35" s="209"/>
      <c r="BV35" s="209"/>
      <c r="BW35" s="209"/>
      <c r="BX35" s="209"/>
      <c r="BY35" s="209"/>
      <c r="BZ35" s="209"/>
      <c r="CA35" s="204"/>
      <c r="CB35" s="204"/>
      <c r="CC35" s="209"/>
      <c r="CD35" s="209"/>
      <c r="CE35" s="209"/>
      <c r="CF35" s="209"/>
      <c r="CG35" s="209"/>
      <c r="CH35" s="209"/>
      <c r="CI35" s="209"/>
      <c r="CJ35" s="209"/>
      <c r="CK35" s="209"/>
      <c r="CL35" s="209"/>
      <c r="CM35" s="209"/>
      <c r="CN35" s="204"/>
      <c r="CO35" s="204"/>
      <c r="CP35" s="209"/>
      <c r="CQ35" s="209"/>
      <c r="CR35" s="209"/>
      <c r="CS35" s="209"/>
      <c r="CT35" s="209"/>
      <c r="CU35" s="209"/>
      <c r="CV35" s="209"/>
      <c r="CW35" s="209"/>
      <c r="CX35" s="209"/>
      <c r="CY35" s="209"/>
      <c r="CZ35" s="209"/>
      <c r="DA35" s="204"/>
      <c r="DB35" s="204"/>
      <c r="DC35" s="209"/>
      <c r="DD35" s="209"/>
      <c r="DE35" s="209"/>
      <c r="DF35" s="209"/>
      <c r="DG35" s="209"/>
      <c r="DH35" s="209"/>
      <c r="DI35" s="209"/>
      <c r="DJ35" s="209"/>
      <c r="DK35" s="209"/>
      <c r="DL35" s="209"/>
      <c r="DM35" s="209"/>
      <c r="DN35" s="204"/>
      <c r="DO35" s="204"/>
      <c r="DP35" s="209"/>
      <c r="DQ35" s="209"/>
      <c r="DR35" s="209"/>
      <c r="DS35" s="209"/>
      <c r="DT35" s="209"/>
      <c r="DU35" s="209"/>
      <c r="DV35" s="209"/>
      <c r="DW35" s="209"/>
      <c r="DX35" s="209"/>
      <c r="DY35" s="209"/>
      <c r="DZ35" s="209"/>
      <c r="EA35" s="204"/>
      <c r="EB35" s="204"/>
      <c r="EC35" s="209"/>
      <c r="ED35" s="209"/>
      <c r="EE35" s="209"/>
      <c r="EF35" s="209"/>
      <c r="EG35" s="209"/>
      <c r="EH35" s="209"/>
      <c r="EI35" s="209"/>
      <c r="EJ35" s="209"/>
      <c r="EK35" s="209"/>
      <c r="EL35" s="209"/>
      <c r="EM35" s="209"/>
      <c r="EN35" s="204"/>
      <c r="EO35" s="204"/>
      <c r="EP35" s="209"/>
      <c r="EQ35" s="209"/>
      <c r="ER35" s="209"/>
      <c r="ES35" s="209"/>
      <c r="ET35" s="209"/>
      <c r="EU35" s="209"/>
      <c r="EV35" s="209"/>
      <c r="EW35" s="209"/>
      <c r="EX35" s="209"/>
      <c r="EY35" s="209"/>
      <c r="EZ35" s="209"/>
      <c r="FA35" s="204"/>
      <c r="FB35" s="204"/>
      <c r="FC35" s="209"/>
      <c r="FD35" s="209"/>
      <c r="FE35" s="209"/>
      <c r="FF35" s="209"/>
      <c r="FG35" s="209"/>
      <c r="FH35" s="209"/>
      <c r="FI35" s="209"/>
      <c r="FJ35" s="209"/>
      <c r="FK35" s="209"/>
      <c r="FL35" s="209"/>
      <c r="FM35" s="209"/>
      <c r="FN35" s="204"/>
      <c r="FO35" s="204"/>
      <c r="FP35" s="209"/>
      <c r="FQ35" s="209"/>
      <c r="FR35" s="209"/>
      <c r="FS35" s="209"/>
      <c r="FT35" s="209"/>
      <c r="FU35" s="209"/>
      <c r="FV35" s="209"/>
      <c r="FW35" s="209"/>
      <c r="FX35" s="209"/>
      <c r="FY35" s="209"/>
      <c r="FZ35" s="209"/>
      <c r="GA35" s="204"/>
      <c r="GB35" s="204"/>
      <c r="GC35" s="209"/>
      <c r="GD35" s="209"/>
      <c r="GE35" s="209"/>
      <c r="GF35" s="209"/>
      <c r="GG35" s="209"/>
      <c r="GH35" s="209"/>
      <c r="GI35" s="209"/>
      <c r="GJ35" s="209"/>
      <c r="GK35" s="209"/>
      <c r="GL35" s="209"/>
      <c r="GM35" s="209"/>
      <c r="GN35" s="204"/>
      <c r="GO35" s="204"/>
      <c r="GP35" s="209"/>
      <c r="GQ35" s="209"/>
      <c r="GR35" s="209"/>
      <c r="GS35" s="209"/>
      <c r="GT35" s="209"/>
      <c r="GU35" s="209"/>
      <c r="GV35" s="209"/>
      <c r="GW35" s="209"/>
      <c r="GX35" s="209"/>
      <c r="GY35" s="209"/>
      <c r="GZ35" s="209"/>
      <c r="HA35" s="204"/>
      <c r="HB35" s="204"/>
      <c r="HC35" s="209"/>
      <c r="HD35" s="209"/>
      <c r="HE35" s="209"/>
      <c r="HF35" s="209"/>
      <c r="HG35" s="209"/>
      <c r="HH35" s="209"/>
      <c r="HI35" s="209"/>
      <c r="HJ35" s="209"/>
      <c r="HK35" s="209"/>
      <c r="HL35" s="209"/>
      <c r="HM35" s="209"/>
      <c r="HN35" s="204"/>
      <c r="HO35" s="204"/>
      <c r="HP35" s="209"/>
      <c r="HQ35" s="209"/>
      <c r="HR35" s="209"/>
      <c r="HS35" s="209"/>
      <c r="HT35" s="209"/>
      <c r="HU35" s="209"/>
      <c r="HV35" s="209"/>
      <c r="HW35" s="209"/>
      <c r="HX35" s="209"/>
      <c r="HY35" s="209"/>
      <c r="HZ35" s="209"/>
      <c r="IA35" s="204"/>
      <c r="IB35" s="204"/>
      <c r="IC35" s="209"/>
      <c r="ID35" s="209"/>
      <c r="IE35" s="209"/>
      <c r="IF35" s="209"/>
      <c r="IG35" s="209"/>
      <c r="IH35" s="209"/>
      <c r="II35" s="209"/>
      <c r="IJ35" s="209"/>
      <c r="IK35" s="209"/>
      <c r="IL35" s="209"/>
      <c r="IM35" s="209"/>
      <c r="IN35" s="204"/>
      <c r="IO35" s="204"/>
      <c r="IP35" s="209"/>
      <c r="IQ35" s="209"/>
      <c r="IR35" s="209"/>
      <c r="IS35" s="209"/>
      <c r="IT35" s="209"/>
      <c r="IU35" s="209"/>
      <c r="IV35" s="209"/>
    </row>
    <row r="36" spans="1:256" x14ac:dyDescent="0.2">
      <c r="A36" s="215"/>
      <c r="B36" s="216"/>
      <c r="C36" s="292"/>
      <c r="D36" s="292"/>
      <c r="E36" s="292"/>
      <c r="F36" s="292"/>
      <c r="G36" s="292"/>
      <c r="H36" s="292"/>
      <c r="I36" s="292"/>
      <c r="J36" s="292"/>
      <c r="K36" s="292"/>
      <c r="L36" s="292"/>
      <c r="M36" s="293"/>
      <c r="N36" s="208"/>
      <c r="O36" s="208"/>
      <c r="P36" s="219"/>
      <c r="Q36" s="219"/>
      <c r="R36" s="219"/>
      <c r="S36" s="219"/>
      <c r="T36" s="219"/>
      <c r="U36" s="219"/>
      <c r="V36" s="219"/>
      <c r="W36" s="219"/>
      <c r="X36" s="219"/>
      <c r="Y36" s="219"/>
      <c r="Z36" s="219"/>
      <c r="AA36" s="204"/>
      <c r="AB36" s="204"/>
      <c r="AC36" s="209"/>
      <c r="AD36" s="209"/>
      <c r="AE36" s="209"/>
      <c r="AF36" s="209"/>
      <c r="AG36" s="209"/>
      <c r="AH36" s="209"/>
      <c r="AI36" s="209"/>
      <c r="AJ36" s="209"/>
      <c r="AK36" s="209"/>
      <c r="AL36" s="209"/>
      <c r="AM36" s="209"/>
      <c r="AN36" s="204"/>
      <c r="AO36" s="204"/>
      <c r="AP36" s="209"/>
      <c r="AQ36" s="209"/>
      <c r="AR36" s="209"/>
      <c r="AS36" s="209"/>
      <c r="AT36" s="209"/>
      <c r="AU36" s="209"/>
      <c r="AV36" s="209"/>
      <c r="AW36" s="209"/>
      <c r="AX36" s="209"/>
      <c r="AY36" s="209"/>
      <c r="AZ36" s="209"/>
      <c r="BA36" s="204"/>
      <c r="BB36" s="204"/>
      <c r="BC36" s="209"/>
      <c r="BD36" s="209"/>
      <c r="BE36" s="209"/>
      <c r="BF36" s="209"/>
      <c r="BG36" s="209"/>
      <c r="BH36" s="209"/>
      <c r="BI36" s="209"/>
      <c r="BJ36" s="209"/>
      <c r="BK36" s="209"/>
      <c r="BL36" s="209"/>
      <c r="BM36" s="209"/>
      <c r="BN36" s="204"/>
      <c r="BO36" s="204"/>
      <c r="BP36" s="209"/>
      <c r="BQ36" s="209"/>
      <c r="BR36" s="209"/>
      <c r="BS36" s="209"/>
      <c r="BT36" s="209"/>
      <c r="BU36" s="209"/>
      <c r="BV36" s="209"/>
      <c r="BW36" s="209"/>
      <c r="BX36" s="209"/>
      <c r="BY36" s="209"/>
      <c r="BZ36" s="209"/>
      <c r="CA36" s="204"/>
      <c r="CB36" s="204"/>
      <c r="CC36" s="209"/>
      <c r="CD36" s="209"/>
      <c r="CE36" s="209"/>
      <c r="CF36" s="209"/>
      <c r="CG36" s="209"/>
      <c r="CH36" s="209"/>
      <c r="CI36" s="209"/>
      <c r="CJ36" s="209"/>
      <c r="CK36" s="209"/>
      <c r="CL36" s="209"/>
      <c r="CM36" s="209"/>
      <c r="CN36" s="204"/>
      <c r="CO36" s="204"/>
      <c r="CP36" s="209"/>
      <c r="CQ36" s="209"/>
      <c r="CR36" s="209"/>
      <c r="CS36" s="209"/>
      <c r="CT36" s="209"/>
      <c r="CU36" s="209"/>
      <c r="CV36" s="209"/>
      <c r="CW36" s="209"/>
      <c r="CX36" s="209"/>
      <c r="CY36" s="209"/>
      <c r="CZ36" s="209"/>
      <c r="DA36" s="204"/>
      <c r="DB36" s="204"/>
      <c r="DC36" s="209"/>
      <c r="DD36" s="209"/>
      <c r="DE36" s="209"/>
      <c r="DF36" s="209"/>
      <c r="DG36" s="209"/>
      <c r="DH36" s="209"/>
      <c r="DI36" s="209"/>
      <c r="DJ36" s="209"/>
      <c r="DK36" s="209"/>
      <c r="DL36" s="209"/>
      <c r="DM36" s="209"/>
      <c r="DN36" s="204"/>
      <c r="DO36" s="204"/>
      <c r="DP36" s="209"/>
      <c r="DQ36" s="209"/>
      <c r="DR36" s="209"/>
      <c r="DS36" s="209"/>
      <c r="DT36" s="209"/>
      <c r="DU36" s="209"/>
      <c r="DV36" s="209"/>
      <c r="DW36" s="209"/>
      <c r="DX36" s="209"/>
      <c r="DY36" s="209"/>
      <c r="DZ36" s="209"/>
      <c r="EA36" s="204"/>
      <c r="EB36" s="204"/>
      <c r="EC36" s="209"/>
      <c r="ED36" s="209"/>
      <c r="EE36" s="209"/>
      <c r="EF36" s="209"/>
      <c r="EG36" s="209"/>
      <c r="EH36" s="209"/>
      <c r="EI36" s="209"/>
      <c r="EJ36" s="209"/>
      <c r="EK36" s="209"/>
      <c r="EL36" s="209"/>
      <c r="EM36" s="209"/>
      <c r="EN36" s="204"/>
      <c r="EO36" s="204"/>
      <c r="EP36" s="209"/>
      <c r="EQ36" s="209"/>
      <c r="ER36" s="209"/>
      <c r="ES36" s="209"/>
      <c r="ET36" s="209"/>
      <c r="EU36" s="209"/>
      <c r="EV36" s="209"/>
      <c r="EW36" s="209"/>
      <c r="EX36" s="209"/>
      <c r="EY36" s="209"/>
      <c r="EZ36" s="209"/>
      <c r="FA36" s="204"/>
      <c r="FB36" s="204"/>
      <c r="FC36" s="209"/>
      <c r="FD36" s="209"/>
      <c r="FE36" s="209"/>
      <c r="FF36" s="209"/>
      <c r="FG36" s="209"/>
      <c r="FH36" s="209"/>
      <c r="FI36" s="209"/>
      <c r="FJ36" s="209"/>
      <c r="FK36" s="209"/>
      <c r="FL36" s="209"/>
      <c r="FM36" s="209"/>
      <c r="FN36" s="204"/>
      <c r="FO36" s="204"/>
      <c r="FP36" s="209"/>
      <c r="FQ36" s="209"/>
      <c r="FR36" s="209"/>
      <c r="FS36" s="209"/>
      <c r="FT36" s="209"/>
      <c r="FU36" s="209"/>
      <c r="FV36" s="209"/>
      <c r="FW36" s="209"/>
      <c r="FX36" s="209"/>
      <c r="FY36" s="209"/>
      <c r="FZ36" s="209"/>
      <c r="GA36" s="204"/>
      <c r="GB36" s="204"/>
      <c r="GC36" s="209"/>
      <c r="GD36" s="209"/>
      <c r="GE36" s="209"/>
      <c r="GF36" s="209"/>
      <c r="GG36" s="209"/>
      <c r="GH36" s="209"/>
      <c r="GI36" s="209"/>
      <c r="GJ36" s="209"/>
      <c r="GK36" s="209"/>
      <c r="GL36" s="209"/>
      <c r="GM36" s="209"/>
      <c r="GN36" s="204"/>
      <c r="GO36" s="204"/>
      <c r="GP36" s="209"/>
      <c r="GQ36" s="209"/>
      <c r="GR36" s="209"/>
      <c r="GS36" s="209"/>
      <c r="GT36" s="209"/>
      <c r="GU36" s="209"/>
      <c r="GV36" s="209"/>
      <c r="GW36" s="209"/>
      <c r="GX36" s="209"/>
      <c r="GY36" s="209"/>
      <c r="GZ36" s="209"/>
      <c r="HA36" s="204"/>
      <c r="HB36" s="204"/>
      <c r="HC36" s="209"/>
      <c r="HD36" s="209"/>
      <c r="HE36" s="209"/>
      <c r="HF36" s="209"/>
      <c r="HG36" s="209"/>
      <c r="HH36" s="209"/>
      <c r="HI36" s="209"/>
      <c r="HJ36" s="209"/>
      <c r="HK36" s="209"/>
      <c r="HL36" s="209"/>
      <c r="HM36" s="209"/>
      <c r="HN36" s="204"/>
      <c r="HO36" s="204"/>
      <c r="HP36" s="209"/>
      <c r="HQ36" s="209"/>
      <c r="HR36" s="209"/>
      <c r="HS36" s="209"/>
      <c r="HT36" s="209"/>
      <c r="HU36" s="209"/>
      <c r="HV36" s="209"/>
      <c r="HW36" s="209"/>
      <c r="HX36" s="209"/>
      <c r="HY36" s="209"/>
      <c r="HZ36" s="209"/>
      <c r="IA36" s="204"/>
      <c r="IB36" s="204"/>
      <c r="IC36" s="209"/>
      <c r="ID36" s="209"/>
      <c r="IE36" s="209"/>
      <c r="IF36" s="209"/>
      <c r="IG36" s="209"/>
      <c r="IH36" s="209"/>
      <c r="II36" s="209"/>
      <c r="IJ36" s="209"/>
      <c r="IK36" s="209"/>
      <c r="IL36" s="209"/>
      <c r="IM36" s="209"/>
      <c r="IN36" s="204"/>
      <c r="IO36" s="204"/>
      <c r="IP36" s="209"/>
      <c r="IQ36" s="209"/>
      <c r="IR36" s="209"/>
      <c r="IS36" s="209"/>
      <c r="IT36" s="209"/>
      <c r="IU36" s="209"/>
      <c r="IV36" s="209"/>
    </row>
    <row r="37" spans="1:256" x14ac:dyDescent="0.2">
      <c r="A37" s="215"/>
      <c r="B37" s="216"/>
      <c r="C37" s="292"/>
      <c r="D37" s="292"/>
      <c r="E37" s="292"/>
      <c r="F37" s="292"/>
      <c r="G37" s="292"/>
      <c r="H37" s="292"/>
      <c r="I37" s="292"/>
      <c r="J37" s="292"/>
      <c r="K37" s="292"/>
      <c r="L37" s="292"/>
      <c r="M37" s="293"/>
      <c r="N37" s="208"/>
      <c r="O37" s="208"/>
      <c r="P37" s="219"/>
      <c r="Q37" s="219"/>
      <c r="R37" s="219"/>
      <c r="S37" s="219"/>
      <c r="T37" s="219"/>
      <c r="U37" s="219"/>
      <c r="V37" s="219"/>
      <c r="W37" s="219"/>
      <c r="X37" s="219"/>
      <c r="Y37" s="219"/>
      <c r="Z37" s="219"/>
      <c r="AA37" s="204"/>
      <c r="AB37" s="204"/>
      <c r="AC37" s="209"/>
      <c r="AD37" s="209"/>
      <c r="AE37" s="209"/>
      <c r="AF37" s="209"/>
      <c r="AG37" s="209"/>
      <c r="AH37" s="209"/>
      <c r="AI37" s="209"/>
      <c r="AJ37" s="209"/>
      <c r="AK37" s="209"/>
      <c r="AL37" s="209"/>
      <c r="AM37" s="209"/>
      <c r="AN37" s="204"/>
      <c r="AO37" s="204"/>
      <c r="AP37" s="209"/>
      <c r="AQ37" s="209"/>
      <c r="AR37" s="209"/>
      <c r="AS37" s="209"/>
      <c r="AT37" s="209"/>
      <c r="AU37" s="209"/>
      <c r="AV37" s="209"/>
      <c r="AW37" s="209"/>
      <c r="AX37" s="209"/>
      <c r="AY37" s="209"/>
      <c r="AZ37" s="209"/>
      <c r="BA37" s="204"/>
      <c r="BB37" s="204"/>
      <c r="BC37" s="209"/>
      <c r="BD37" s="209"/>
      <c r="BE37" s="209"/>
      <c r="BF37" s="209"/>
      <c r="BG37" s="209"/>
      <c r="BH37" s="209"/>
      <c r="BI37" s="209"/>
      <c r="BJ37" s="209"/>
      <c r="BK37" s="209"/>
      <c r="BL37" s="209"/>
      <c r="BM37" s="209"/>
      <c r="BN37" s="204"/>
      <c r="BO37" s="204"/>
      <c r="BP37" s="209"/>
      <c r="BQ37" s="209"/>
      <c r="BR37" s="209"/>
      <c r="BS37" s="209"/>
      <c r="BT37" s="209"/>
      <c r="BU37" s="209"/>
      <c r="BV37" s="209"/>
      <c r="BW37" s="209"/>
      <c r="BX37" s="209"/>
      <c r="BY37" s="209"/>
      <c r="BZ37" s="209"/>
      <c r="CA37" s="204"/>
      <c r="CB37" s="204"/>
      <c r="CC37" s="209"/>
      <c r="CD37" s="209"/>
      <c r="CE37" s="209"/>
      <c r="CF37" s="209"/>
      <c r="CG37" s="209"/>
      <c r="CH37" s="209"/>
      <c r="CI37" s="209"/>
      <c r="CJ37" s="209"/>
      <c r="CK37" s="209"/>
      <c r="CL37" s="209"/>
      <c r="CM37" s="209"/>
      <c r="CN37" s="204"/>
      <c r="CO37" s="204"/>
      <c r="CP37" s="209"/>
      <c r="CQ37" s="209"/>
      <c r="CR37" s="209"/>
      <c r="CS37" s="209"/>
      <c r="CT37" s="209"/>
      <c r="CU37" s="209"/>
      <c r="CV37" s="209"/>
      <c r="CW37" s="209"/>
      <c r="CX37" s="209"/>
      <c r="CY37" s="209"/>
      <c r="CZ37" s="209"/>
      <c r="DA37" s="204"/>
      <c r="DB37" s="204"/>
      <c r="DC37" s="209"/>
      <c r="DD37" s="209"/>
      <c r="DE37" s="209"/>
      <c r="DF37" s="209"/>
      <c r="DG37" s="209"/>
      <c r="DH37" s="209"/>
      <c r="DI37" s="209"/>
      <c r="DJ37" s="209"/>
      <c r="DK37" s="209"/>
      <c r="DL37" s="209"/>
      <c r="DM37" s="209"/>
      <c r="DN37" s="204"/>
      <c r="DO37" s="204"/>
      <c r="DP37" s="209"/>
      <c r="DQ37" s="209"/>
      <c r="DR37" s="209"/>
      <c r="DS37" s="209"/>
      <c r="DT37" s="209"/>
      <c r="DU37" s="209"/>
      <c r="DV37" s="209"/>
      <c r="DW37" s="209"/>
      <c r="DX37" s="209"/>
      <c r="DY37" s="209"/>
      <c r="DZ37" s="209"/>
      <c r="EA37" s="204"/>
      <c r="EB37" s="204"/>
      <c r="EC37" s="209"/>
      <c r="ED37" s="209"/>
      <c r="EE37" s="209"/>
      <c r="EF37" s="209"/>
      <c r="EG37" s="209"/>
      <c r="EH37" s="209"/>
      <c r="EI37" s="209"/>
      <c r="EJ37" s="209"/>
      <c r="EK37" s="209"/>
      <c r="EL37" s="209"/>
      <c r="EM37" s="209"/>
      <c r="EN37" s="204"/>
      <c r="EO37" s="204"/>
      <c r="EP37" s="209"/>
      <c r="EQ37" s="209"/>
      <c r="ER37" s="209"/>
      <c r="ES37" s="209"/>
      <c r="ET37" s="209"/>
      <c r="EU37" s="209"/>
      <c r="EV37" s="209"/>
      <c r="EW37" s="209"/>
      <c r="EX37" s="209"/>
      <c r="EY37" s="209"/>
      <c r="EZ37" s="209"/>
      <c r="FA37" s="204"/>
      <c r="FB37" s="204"/>
      <c r="FC37" s="209"/>
      <c r="FD37" s="209"/>
      <c r="FE37" s="209"/>
      <c r="FF37" s="209"/>
      <c r="FG37" s="209"/>
      <c r="FH37" s="209"/>
      <c r="FI37" s="209"/>
      <c r="FJ37" s="209"/>
      <c r="FK37" s="209"/>
      <c r="FL37" s="209"/>
      <c r="FM37" s="209"/>
      <c r="FN37" s="204"/>
      <c r="FO37" s="204"/>
      <c r="FP37" s="209"/>
      <c r="FQ37" s="209"/>
      <c r="FR37" s="209"/>
      <c r="FS37" s="209"/>
      <c r="FT37" s="209"/>
      <c r="FU37" s="209"/>
      <c r="FV37" s="209"/>
      <c r="FW37" s="209"/>
      <c r="FX37" s="209"/>
      <c r="FY37" s="209"/>
      <c r="FZ37" s="209"/>
      <c r="GA37" s="204"/>
      <c r="GB37" s="204"/>
      <c r="GC37" s="209"/>
      <c r="GD37" s="209"/>
      <c r="GE37" s="209"/>
      <c r="GF37" s="209"/>
      <c r="GG37" s="209"/>
      <c r="GH37" s="209"/>
      <c r="GI37" s="209"/>
      <c r="GJ37" s="209"/>
      <c r="GK37" s="209"/>
      <c r="GL37" s="209"/>
      <c r="GM37" s="209"/>
      <c r="GN37" s="204"/>
      <c r="GO37" s="204"/>
      <c r="GP37" s="209"/>
      <c r="GQ37" s="209"/>
      <c r="GR37" s="209"/>
      <c r="GS37" s="209"/>
      <c r="GT37" s="209"/>
      <c r="GU37" s="209"/>
      <c r="GV37" s="209"/>
      <c r="GW37" s="209"/>
      <c r="GX37" s="209"/>
      <c r="GY37" s="209"/>
      <c r="GZ37" s="209"/>
      <c r="HA37" s="204"/>
      <c r="HB37" s="204"/>
      <c r="HC37" s="209"/>
      <c r="HD37" s="209"/>
      <c r="HE37" s="209"/>
      <c r="HF37" s="209"/>
      <c r="HG37" s="209"/>
      <c r="HH37" s="209"/>
      <c r="HI37" s="209"/>
      <c r="HJ37" s="209"/>
      <c r="HK37" s="209"/>
      <c r="HL37" s="209"/>
      <c r="HM37" s="209"/>
      <c r="HN37" s="204"/>
      <c r="HO37" s="204"/>
      <c r="HP37" s="209"/>
      <c r="HQ37" s="209"/>
      <c r="HR37" s="209"/>
      <c r="HS37" s="209"/>
      <c r="HT37" s="209"/>
      <c r="HU37" s="209"/>
      <c r="HV37" s="209"/>
      <c r="HW37" s="209"/>
      <c r="HX37" s="209"/>
      <c r="HY37" s="209"/>
      <c r="HZ37" s="209"/>
      <c r="IA37" s="204"/>
      <c r="IB37" s="204"/>
      <c r="IC37" s="209"/>
      <c r="ID37" s="209"/>
      <c r="IE37" s="209"/>
      <c r="IF37" s="209"/>
      <c r="IG37" s="209"/>
      <c r="IH37" s="209"/>
      <c r="II37" s="209"/>
      <c r="IJ37" s="209"/>
      <c r="IK37" s="209"/>
      <c r="IL37" s="209"/>
      <c r="IM37" s="209"/>
      <c r="IN37" s="204"/>
      <c r="IO37" s="204"/>
      <c r="IP37" s="209"/>
      <c r="IQ37" s="209"/>
      <c r="IR37" s="209"/>
      <c r="IS37" s="209"/>
      <c r="IT37" s="209"/>
      <c r="IU37" s="209"/>
      <c r="IV37" s="209"/>
    </row>
    <row r="38" spans="1:256" x14ac:dyDescent="0.2">
      <c r="A38" s="215"/>
      <c r="B38" s="216"/>
      <c r="C38" s="292"/>
      <c r="D38" s="292"/>
      <c r="E38" s="292"/>
      <c r="F38" s="292"/>
      <c r="G38" s="292"/>
      <c r="H38" s="292"/>
      <c r="I38" s="292"/>
      <c r="J38" s="292"/>
      <c r="K38" s="292"/>
      <c r="L38" s="292"/>
      <c r="M38" s="293"/>
      <c r="N38" s="208"/>
      <c r="O38" s="208"/>
      <c r="P38" s="298"/>
      <c r="Q38" s="298"/>
      <c r="R38" s="298"/>
      <c r="S38" s="298"/>
      <c r="T38" s="298"/>
      <c r="U38" s="298"/>
      <c r="V38" s="298"/>
      <c r="W38" s="298"/>
      <c r="X38" s="298"/>
      <c r="Y38" s="298"/>
      <c r="Z38" s="298"/>
      <c r="AA38" s="204"/>
      <c r="AB38" s="204"/>
      <c r="AC38" s="297"/>
      <c r="AD38" s="297"/>
      <c r="AE38" s="297"/>
      <c r="AF38" s="297"/>
      <c r="AG38" s="297"/>
      <c r="AH38" s="297"/>
      <c r="AI38" s="297"/>
      <c r="AJ38" s="297"/>
      <c r="AK38" s="297"/>
      <c r="AL38" s="297"/>
      <c r="AM38" s="297"/>
      <c r="AN38" s="204"/>
      <c r="AO38" s="204"/>
      <c r="AP38" s="297"/>
      <c r="AQ38" s="297"/>
      <c r="AR38" s="297"/>
      <c r="AS38" s="297"/>
      <c r="AT38" s="297"/>
      <c r="AU38" s="297"/>
      <c r="AV38" s="297"/>
      <c r="AW38" s="297"/>
      <c r="AX38" s="297"/>
      <c r="AY38" s="297"/>
      <c r="AZ38" s="297"/>
      <c r="BA38" s="204"/>
      <c r="BB38" s="204"/>
      <c r="BC38" s="297"/>
      <c r="BD38" s="297"/>
      <c r="BE38" s="297"/>
      <c r="BF38" s="297"/>
      <c r="BG38" s="297"/>
      <c r="BH38" s="297"/>
      <c r="BI38" s="297"/>
      <c r="BJ38" s="297"/>
      <c r="BK38" s="297"/>
      <c r="BL38" s="297"/>
      <c r="BM38" s="297"/>
      <c r="BN38" s="204"/>
      <c r="BO38" s="204"/>
      <c r="BP38" s="297"/>
      <c r="BQ38" s="297"/>
      <c r="BR38" s="297"/>
      <c r="BS38" s="297"/>
      <c r="BT38" s="297"/>
      <c r="BU38" s="297"/>
      <c r="BV38" s="297"/>
      <c r="BW38" s="297"/>
      <c r="BX38" s="297"/>
      <c r="BY38" s="297"/>
      <c r="BZ38" s="297"/>
      <c r="CA38" s="204"/>
      <c r="CB38" s="204"/>
      <c r="CC38" s="297"/>
      <c r="CD38" s="297"/>
      <c r="CE38" s="297"/>
      <c r="CF38" s="297"/>
      <c r="CG38" s="297"/>
      <c r="CH38" s="297"/>
      <c r="CI38" s="297"/>
      <c r="CJ38" s="297"/>
      <c r="CK38" s="297"/>
      <c r="CL38" s="297"/>
      <c r="CM38" s="297"/>
      <c r="CN38" s="204"/>
      <c r="CO38" s="204"/>
      <c r="CP38" s="297"/>
      <c r="CQ38" s="297"/>
      <c r="CR38" s="297"/>
      <c r="CS38" s="297"/>
      <c r="CT38" s="297"/>
      <c r="CU38" s="297"/>
      <c r="CV38" s="297"/>
      <c r="CW38" s="297"/>
      <c r="CX38" s="297"/>
      <c r="CY38" s="297"/>
      <c r="CZ38" s="297"/>
      <c r="DA38" s="204"/>
      <c r="DB38" s="204"/>
      <c r="DC38" s="297"/>
      <c r="DD38" s="297"/>
      <c r="DE38" s="297"/>
      <c r="DF38" s="297"/>
      <c r="DG38" s="297"/>
      <c r="DH38" s="297"/>
      <c r="DI38" s="297"/>
      <c r="DJ38" s="297"/>
      <c r="DK38" s="297"/>
      <c r="DL38" s="297"/>
      <c r="DM38" s="297"/>
      <c r="DN38" s="204"/>
      <c r="DO38" s="204"/>
      <c r="DP38" s="297"/>
      <c r="DQ38" s="297"/>
      <c r="DR38" s="297"/>
      <c r="DS38" s="297"/>
      <c r="DT38" s="297"/>
      <c r="DU38" s="297"/>
      <c r="DV38" s="297"/>
      <c r="DW38" s="297"/>
      <c r="DX38" s="297"/>
      <c r="DY38" s="297"/>
      <c r="DZ38" s="297"/>
      <c r="EA38" s="204"/>
      <c r="EB38" s="204"/>
      <c r="EC38" s="297"/>
      <c r="ED38" s="297"/>
      <c r="EE38" s="297"/>
      <c r="EF38" s="297"/>
      <c r="EG38" s="297"/>
      <c r="EH38" s="297"/>
      <c r="EI38" s="297"/>
      <c r="EJ38" s="297"/>
      <c r="EK38" s="297"/>
      <c r="EL38" s="297"/>
      <c r="EM38" s="297"/>
      <c r="EN38" s="204"/>
      <c r="EO38" s="204"/>
      <c r="EP38" s="297"/>
      <c r="EQ38" s="297"/>
      <c r="ER38" s="297"/>
      <c r="ES38" s="297"/>
      <c r="ET38" s="297"/>
      <c r="EU38" s="297"/>
      <c r="EV38" s="297"/>
      <c r="EW38" s="297"/>
      <c r="EX38" s="297"/>
      <c r="EY38" s="297"/>
      <c r="EZ38" s="297"/>
      <c r="FA38" s="204"/>
      <c r="FB38" s="204"/>
      <c r="FC38" s="297"/>
      <c r="FD38" s="297"/>
      <c r="FE38" s="297"/>
      <c r="FF38" s="297"/>
      <c r="FG38" s="297"/>
      <c r="FH38" s="297"/>
      <c r="FI38" s="297"/>
      <c r="FJ38" s="297"/>
      <c r="FK38" s="297"/>
      <c r="FL38" s="297"/>
      <c r="FM38" s="297"/>
      <c r="FN38" s="204"/>
      <c r="FO38" s="204"/>
      <c r="FP38" s="297"/>
      <c r="FQ38" s="297"/>
      <c r="FR38" s="297"/>
      <c r="FS38" s="297"/>
      <c r="FT38" s="297"/>
      <c r="FU38" s="297"/>
      <c r="FV38" s="297"/>
      <c r="FW38" s="297"/>
      <c r="FX38" s="297"/>
      <c r="FY38" s="297"/>
      <c r="FZ38" s="297"/>
      <c r="GA38" s="204"/>
      <c r="GB38" s="204"/>
      <c r="GC38" s="297"/>
      <c r="GD38" s="297"/>
      <c r="GE38" s="297"/>
      <c r="GF38" s="297"/>
      <c r="GG38" s="297"/>
      <c r="GH38" s="297"/>
      <c r="GI38" s="297"/>
      <c r="GJ38" s="297"/>
      <c r="GK38" s="297"/>
      <c r="GL38" s="297"/>
      <c r="GM38" s="297"/>
      <c r="GN38" s="204"/>
      <c r="GO38" s="204"/>
      <c r="GP38" s="297"/>
      <c r="GQ38" s="297"/>
      <c r="GR38" s="297"/>
      <c r="GS38" s="297"/>
      <c r="GT38" s="297"/>
      <c r="GU38" s="297"/>
      <c r="GV38" s="297"/>
      <c r="GW38" s="297"/>
      <c r="GX38" s="297"/>
      <c r="GY38" s="297"/>
      <c r="GZ38" s="297"/>
      <c r="HA38" s="204"/>
      <c r="HB38" s="204"/>
      <c r="HC38" s="297"/>
      <c r="HD38" s="297"/>
      <c r="HE38" s="297"/>
      <c r="HF38" s="297"/>
      <c r="HG38" s="297"/>
      <c r="HH38" s="297"/>
      <c r="HI38" s="297"/>
      <c r="HJ38" s="297"/>
      <c r="HK38" s="297"/>
      <c r="HL38" s="297"/>
      <c r="HM38" s="297"/>
      <c r="HN38" s="204"/>
      <c r="HO38" s="204"/>
      <c r="HP38" s="297"/>
      <c r="HQ38" s="297"/>
      <c r="HR38" s="297"/>
      <c r="HS38" s="297"/>
      <c r="HT38" s="297"/>
      <c r="HU38" s="297"/>
      <c r="HV38" s="297"/>
      <c r="HW38" s="297"/>
      <c r="HX38" s="297"/>
      <c r="HY38" s="297"/>
      <c r="HZ38" s="297"/>
      <c r="IA38" s="204"/>
      <c r="IB38" s="204"/>
      <c r="IC38" s="297"/>
      <c r="ID38" s="297"/>
      <c r="IE38" s="297"/>
      <c r="IF38" s="297"/>
      <c r="IG38" s="297"/>
      <c r="IH38" s="297"/>
      <c r="II38" s="297"/>
      <c r="IJ38" s="297"/>
      <c r="IK38" s="297"/>
      <c r="IL38" s="297"/>
      <c r="IM38" s="297"/>
      <c r="IN38" s="204"/>
      <c r="IO38" s="204"/>
      <c r="IP38" s="297"/>
      <c r="IQ38" s="297"/>
      <c r="IR38" s="297"/>
      <c r="IS38" s="297"/>
      <c r="IT38" s="297"/>
      <c r="IU38" s="297"/>
      <c r="IV38" s="297"/>
    </row>
    <row r="39" spans="1:256" x14ac:dyDescent="0.2">
      <c r="A39" s="215"/>
      <c r="B39" s="216"/>
      <c r="C39" s="292"/>
      <c r="D39" s="292"/>
      <c r="E39" s="292"/>
      <c r="F39" s="292"/>
      <c r="G39" s="292"/>
      <c r="H39" s="292"/>
      <c r="I39" s="292"/>
      <c r="J39" s="292"/>
      <c r="K39" s="292"/>
      <c r="L39" s="292"/>
      <c r="M39" s="293"/>
      <c r="N39" s="208"/>
      <c r="O39" s="208"/>
      <c r="P39" s="298"/>
      <c r="Q39" s="298"/>
      <c r="R39" s="298"/>
      <c r="S39" s="298"/>
      <c r="T39" s="298"/>
      <c r="U39" s="298"/>
      <c r="V39" s="298"/>
      <c r="W39" s="298"/>
      <c r="X39" s="298"/>
      <c r="Y39" s="298"/>
      <c r="Z39" s="298"/>
      <c r="AA39" s="204"/>
      <c r="AB39" s="204"/>
      <c r="AC39" s="297"/>
      <c r="AD39" s="297"/>
      <c r="AE39" s="297"/>
      <c r="AF39" s="297"/>
      <c r="AG39" s="297"/>
      <c r="AH39" s="297"/>
      <c r="AI39" s="297"/>
      <c r="AJ39" s="297"/>
      <c r="AK39" s="297"/>
      <c r="AL39" s="297"/>
      <c r="AM39" s="297"/>
      <c r="AN39" s="204"/>
      <c r="AO39" s="204"/>
      <c r="AP39" s="297"/>
      <c r="AQ39" s="297"/>
      <c r="AR39" s="297"/>
      <c r="AS39" s="297"/>
      <c r="AT39" s="297"/>
      <c r="AU39" s="297"/>
      <c r="AV39" s="297"/>
      <c r="AW39" s="297"/>
      <c r="AX39" s="297"/>
      <c r="AY39" s="297"/>
      <c r="AZ39" s="297"/>
      <c r="BA39" s="204"/>
      <c r="BB39" s="204"/>
      <c r="BC39" s="297"/>
      <c r="BD39" s="297"/>
      <c r="BE39" s="297"/>
      <c r="BF39" s="297"/>
      <c r="BG39" s="297"/>
      <c r="BH39" s="297"/>
      <c r="BI39" s="297"/>
      <c r="BJ39" s="297"/>
      <c r="BK39" s="297"/>
      <c r="BL39" s="297"/>
      <c r="BM39" s="297"/>
      <c r="BN39" s="204"/>
      <c r="BO39" s="204"/>
      <c r="BP39" s="297"/>
      <c r="BQ39" s="297"/>
      <c r="BR39" s="297"/>
      <c r="BS39" s="297"/>
      <c r="BT39" s="297"/>
      <c r="BU39" s="297"/>
      <c r="BV39" s="297"/>
      <c r="BW39" s="297"/>
      <c r="BX39" s="297"/>
      <c r="BY39" s="297"/>
      <c r="BZ39" s="297"/>
      <c r="CA39" s="204"/>
      <c r="CB39" s="204"/>
      <c r="CC39" s="297"/>
      <c r="CD39" s="297"/>
      <c r="CE39" s="297"/>
      <c r="CF39" s="297"/>
      <c r="CG39" s="297"/>
      <c r="CH39" s="297"/>
      <c r="CI39" s="297"/>
      <c r="CJ39" s="297"/>
      <c r="CK39" s="297"/>
      <c r="CL39" s="297"/>
      <c r="CM39" s="297"/>
      <c r="CN39" s="204"/>
      <c r="CO39" s="204"/>
      <c r="CP39" s="297"/>
      <c r="CQ39" s="297"/>
      <c r="CR39" s="297"/>
      <c r="CS39" s="297"/>
      <c r="CT39" s="297"/>
      <c r="CU39" s="297"/>
      <c r="CV39" s="297"/>
      <c r="CW39" s="297"/>
      <c r="CX39" s="297"/>
      <c r="CY39" s="297"/>
      <c r="CZ39" s="297"/>
      <c r="DA39" s="204"/>
      <c r="DB39" s="204"/>
      <c r="DC39" s="297"/>
      <c r="DD39" s="297"/>
      <c r="DE39" s="297"/>
      <c r="DF39" s="297"/>
      <c r="DG39" s="297"/>
      <c r="DH39" s="297"/>
      <c r="DI39" s="297"/>
      <c r="DJ39" s="297"/>
      <c r="DK39" s="297"/>
      <c r="DL39" s="297"/>
      <c r="DM39" s="297"/>
      <c r="DN39" s="204"/>
      <c r="DO39" s="204"/>
      <c r="DP39" s="297"/>
      <c r="DQ39" s="297"/>
      <c r="DR39" s="297"/>
      <c r="DS39" s="297"/>
      <c r="DT39" s="297"/>
      <c r="DU39" s="297"/>
      <c r="DV39" s="297"/>
      <c r="DW39" s="297"/>
      <c r="DX39" s="297"/>
      <c r="DY39" s="297"/>
      <c r="DZ39" s="297"/>
      <c r="EA39" s="204"/>
      <c r="EB39" s="204"/>
      <c r="EC39" s="297"/>
      <c r="ED39" s="297"/>
      <c r="EE39" s="297"/>
      <c r="EF39" s="297"/>
      <c r="EG39" s="297"/>
      <c r="EH39" s="297"/>
      <c r="EI39" s="297"/>
      <c r="EJ39" s="297"/>
      <c r="EK39" s="297"/>
      <c r="EL39" s="297"/>
      <c r="EM39" s="297"/>
      <c r="EN39" s="204"/>
      <c r="EO39" s="204"/>
      <c r="EP39" s="297"/>
      <c r="EQ39" s="297"/>
      <c r="ER39" s="297"/>
      <c r="ES39" s="297"/>
      <c r="ET39" s="297"/>
      <c r="EU39" s="297"/>
      <c r="EV39" s="297"/>
      <c r="EW39" s="297"/>
      <c r="EX39" s="297"/>
      <c r="EY39" s="297"/>
      <c r="EZ39" s="297"/>
      <c r="FA39" s="204"/>
      <c r="FB39" s="204"/>
      <c r="FC39" s="297"/>
      <c r="FD39" s="297"/>
      <c r="FE39" s="297"/>
      <c r="FF39" s="297"/>
      <c r="FG39" s="297"/>
      <c r="FH39" s="297"/>
      <c r="FI39" s="297"/>
      <c r="FJ39" s="297"/>
      <c r="FK39" s="297"/>
      <c r="FL39" s="297"/>
      <c r="FM39" s="297"/>
      <c r="FN39" s="204"/>
      <c r="FO39" s="204"/>
      <c r="FP39" s="297"/>
      <c r="FQ39" s="297"/>
      <c r="FR39" s="297"/>
      <c r="FS39" s="297"/>
      <c r="FT39" s="297"/>
      <c r="FU39" s="297"/>
      <c r="FV39" s="297"/>
      <c r="FW39" s="297"/>
      <c r="FX39" s="297"/>
      <c r="FY39" s="297"/>
      <c r="FZ39" s="297"/>
      <c r="GA39" s="204"/>
      <c r="GB39" s="204"/>
      <c r="GC39" s="297"/>
      <c r="GD39" s="297"/>
      <c r="GE39" s="297"/>
      <c r="GF39" s="297"/>
      <c r="GG39" s="297"/>
      <c r="GH39" s="297"/>
      <c r="GI39" s="297"/>
      <c r="GJ39" s="297"/>
      <c r="GK39" s="297"/>
      <c r="GL39" s="297"/>
      <c r="GM39" s="297"/>
      <c r="GN39" s="204"/>
      <c r="GO39" s="204"/>
      <c r="GP39" s="297"/>
      <c r="GQ39" s="297"/>
      <c r="GR39" s="297"/>
      <c r="GS39" s="297"/>
      <c r="GT39" s="297"/>
      <c r="GU39" s="297"/>
      <c r="GV39" s="297"/>
      <c r="GW39" s="297"/>
      <c r="GX39" s="297"/>
      <c r="GY39" s="297"/>
      <c r="GZ39" s="297"/>
      <c r="HA39" s="204"/>
      <c r="HB39" s="204"/>
      <c r="HC39" s="297"/>
      <c r="HD39" s="297"/>
      <c r="HE39" s="297"/>
      <c r="HF39" s="297"/>
      <c r="HG39" s="297"/>
      <c r="HH39" s="297"/>
      <c r="HI39" s="297"/>
      <c r="HJ39" s="297"/>
      <c r="HK39" s="297"/>
      <c r="HL39" s="297"/>
      <c r="HM39" s="297"/>
      <c r="HN39" s="204"/>
      <c r="HO39" s="204"/>
      <c r="HP39" s="297"/>
      <c r="HQ39" s="297"/>
      <c r="HR39" s="297"/>
      <c r="HS39" s="297"/>
      <c r="HT39" s="297"/>
      <c r="HU39" s="297"/>
      <c r="HV39" s="297"/>
      <c r="HW39" s="297"/>
      <c r="HX39" s="297"/>
      <c r="HY39" s="297"/>
      <c r="HZ39" s="297"/>
      <c r="IA39" s="204"/>
      <c r="IB39" s="204"/>
      <c r="IC39" s="297"/>
      <c r="ID39" s="297"/>
      <c r="IE39" s="297"/>
      <c r="IF39" s="297"/>
      <c r="IG39" s="297"/>
      <c r="IH39" s="297"/>
      <c r="II39" s="297"/>
      <c r="IJ39" s="297"/>
      <c r="IK39" s="297"/>
      <c r="IL39" s="297"/>
      <c r="IM39" s="297"/>
      <c r="IN39" s="204"/>
      <c r="IO39" s="204"/>
      <c r="IP39" s="297"/>
      <c r="IQ39" s="297"/>
      <c r="IR39" s="297"/>
      <c r="IS39" s="297"/>
      <c r="IT39" s="297"/>
      <c r="IU39" s="297"/>
      <c r="IV39" s="297"/>
    </row>
    <row r="40" spans="1:256" x14ac:dyDescent="0.2">
      <c r="A40" s="215"/>
      <c r="B40" s="216"/>
      <c r="C40" s="292"/>
      <c r="D40" s="292"/>
      <c r="E40" s="292"/>
      <c r="F40" s="292"/>
      <c r="G40" s="292"/>
      <c r="H40" s="292"/>
      <c r="I40" s="292"/>
      <c r="J40" s="292"/>
      <c r="K40" s="292"/>
      <c r="L40" s="292"/>
      <c r="M40" s="293"/>
      <c r="N40" s="208"/>
      <c r="O40" s="208"/>
      <c r="P40" s="298"/>
      <c r="Q40" s="298"/>
      <c r="R40" s="298"/>
      <c r="S40" s="298"/>
      <c r="T40" s="298"/>
      <c r="U40" s="298"/>
      <c r="V40" s="298"/>
      <c r="W40" s="298"/>
      <c r="X40" s="298"/>
      <c r="Y40" s="298"/>
      <c r="Z40" s="298"/>
      <c r="AA40" s="204"/>
      <c r="AB40" s="204"/>
      <c r="AC40" s="297"/>
      <c r="AD40" s="297"/>
      <c r="AE40" s="297"/>
      <c r="AF40" s="297"/>
      <c r="AG40" s="297"/>
      <c r="AH40" s="297"/>
      <c r="AI40" s="297"/>
      <c r="AJ40" s="297"/>
      <c r="AK40" s="297"/>
      <c r="AL40" s="297"/>
      <c r="AM40" s="297"/>
      <c r="AN40" s="204"/>
      <c r="AO40" s="204"/>
      <c r="AP40" s="297"/>
      <c r="AQ40" s="297"/>
      <c r="AR40" s="297"/>
      <c r="AS40" s="297"/>
      <c r="AT40" s="297"/>
      <c r="AU40" s="297"/>
      <c r="AV40" s="297"/>
      <c r="AW40" s="297"/>
      <c r="AX40" s="297"/>
      <c r="AY40" s="297"/>
      <c r="AZ40" s="297"/>
      <c r="BA40" s="204"/>
      <c r="BB40" s="204"/>
      <c r="BC40" s="297"/>
      <c r="BD40" s="297"/>
      <c r="BE40" s="297"/>
      <c r="BF40" s="297"/>
      <c r="BG40" s="297"/>
      <c r="BH40" s="297"/>
      <c r="BI40" s="297"/>
      <c r="BJ40" s="297"/>
      <c r="BK40" s="297"/>
      <c r="BL40" s="297"/>
      <c r="BM40" s="297"/>
      <c r="BN40" s="204"/>
      <c r="BO40" s="204"/>
      <c r="BP40" s="297"/>
      <c r="BQ40" s="297"/>
      <c r="BR40" s="297"/>
      <c r="BS40" s="297"/>
      <c r="BT40" s="297"/>
      <c r="BU40" s="297"/>
      <c r="BV40" s="297"/>
      <c r="BW40" s="297"/>
      <c r="BX40" s="297"/>
      <c r="BY40" s="297"/>
      <c r="BZ40" s="297"/>
      <c r="CA40" s="204"/>
      <c r="CB40" s="204"/>
      <c r="CC40" s="297"/>
      <c r="CD40" s="297"/>
      <c r="CE40" s="297"/>
      <c r="CF40" s="297"/>
      <c r="CG40" s="297"/>
      <c r="CH40" s="297"/>
      <c r="CI40" s="297"/>
      <c r="CJ40" s="297"/>
      <c r="CK40" s="297"/>
      <c r="CL40" s="297"/>
      <c r="CM40" s="297"/>
      <c r="CN40" s="204"/>
      <c r="CO40" s="204"/>
      <c r="CP40" s="297"/>
      <c r="CQ40" s="297"/>
      <c r="CR40" s="297"/>
      <c r="CS40" s="297"/>
      <c r="CT40" s="297"/>
      <c r="CU40" s="297"/>
      <c r="CV40" s="297"/>
      <c r="CW40" s="297"/>
      <c r="CX40" s="297"/>
      <c r="CY40" s="297"/>
      <c r="CZ40" s="297"/>
      <c r="DA40" s="204"/>
      <c r="DB40" s="204"/>
      <c r="DC40" s="297"/>
      <c r="DD40" s="297"/>
      <c r="DE40" s="297"/>
      <c r="DF40" s="297"/>
      <c r="DG40" s="297"/>
      <c r="DH40" s="297"/>
      <c r="DI40" s="297"/>
      <c r="DJ40" s="297"/>
      <c r="DK40" s="297"/>
      <c r="DL40" s="297"/>
      <c r="DM40" s="297"/>
      <c r="DN40" s="204"/>
      <c r="DO40" s="204"/>
      <c r="DP40" s="297"/>
      <c r="DQ40" s="297"/>
      <c r="DR40" s="297"/>
      <c r="DS40" s="297"/>
      <c r="DT40" s="297"/>
      <c r="DU40" s="297"/>
      <c r="DV40" s="297"/>
      <c r="DW40" s="297"/>
      <c r="DX40" s="297"/>
      <c r="DY40" s="297"/>
      <c r="DZ40" s="297"/>
      <c r="EA40" s="204"/>
      <c r="EB40" s="204"/>
      <c r="EC40" s="297"/>
      <c r="ED40" s="297"/>
      <c r="EE40" s="297"/>
      <c r="EF40" s="297"/>
      <c r="EG40" s="297"/>
      <c r="EH40" s="297"/>
      <c r="EI40" s="297"/>
      <c r="EJ40" s="297"/>
      <c r="EK40" s="297"/>
      <c r="EL40" s="297"/>
      <c r="EM40" s="297"/>
      <c r="EN40" s="204"/>
      <c r="EO40" s="204"/>
      <c r="EP40" s="297"/>
      <c r="EQ40" s="297"/>
      <c r="ER40" s="297"/>
      <c r="ES40" s="297"/>
      <c r="ET40" s="297"/>
      <c r="EU40" s="297"/>
      <c r="EV40" s="297"/>
      <c r="EW40" s="297"/>
      <c r="EX40" s="297"/>
      <c r="EY40" s="297"/>
      <c r="EZ40" s="297"/>
      <c r="FA40" s="204"/>
      <c r="FB40" s="204"/>
      <c r="FC40" s="297"/>
      <c r="FD40" s="297"/>
      <c r="FE40" s="297"/>
      <c r="FF40" s="297"/>
      <c r="FG40" s="297"/>
      <c r="FH40" s="297"/>
      <c r="FI40" s="297"/>
      <c r="FJ40" s="297"/>
      <c r="FK40" s="297"/>
      <c r="FL40" s="297"/>
      <c r="FM40" s="297"/>
      <c r="FN40" s="204"/>
      <c r="FO40" s="204"/>
      <c r="FP40" s="297"/>
      <c r="FQ40" s="297"/>
      <c r="FR40" s="297"/>
      <c r="FS40" s="297"/>
      <c r="FT40" s="297"/>
      <c r="FU40" s="297"/>
      <c r="FV40" s="297"/>
      <c r="FW40" s="297"/>
      <c r="FX40" s="297"/>
      <c r="FY40" s="297"/>
      <c r="FZ40" s="297"/>
      <c r="GA40" s="204"/>
      <c r="GB40" s="204"/>
      <c r="GC40" s="297"/>
      <c r="GD40" s="297"/>
      <c r="GE40" s="297"/>
      <c r="GF40" s="297"/>
      <c r="GG40" s="297"/>
      <c r="GH40" s="297"/>
      <c r="GI40" s="297"/>
      <c r="GJ40" s="297"/>
      <c r="GK40" s="297"/>
      <c r="GL40" s="297"/>
      <c r="GM40" s="297"/>
      <c r="GN40" s="204"/>
      <c r="GO40" s="204"/>
      <c r="GP40" s="297"/>
      <c r="GQ40" s="297"/>
      <c r="GR40" s="297"/>
      <c r="GS40" s="297"/>
      <c r="GT40" s="297"/>
      <c r="GU40" s="297"/>
      <c r="GV40" s="297"/>
      <c r="GW40" s="297"/>
      <c r="GX40" s="297"/>
      <c r="GY40" s="297"/>
      <c r="GZ40" s="297"/>
      <c r="HA40" s="204"/>
      <c r="HB40" s="204"/>
      <c r="HC40" s="297"/>
      <c r="HD40" s="297"/>
      <c r="HE40" s="297"/>
      <c r="HF40" s="297"/>
      <c r="HG40" s="297"/>
      <c r="HH40" s="297"/>
      <c r="HI40" s="297"/>
      <c r="HJ40" s="297"/>
      <c r="HK40" s="297"/>
      <c r="HL40" s="297"/>
      <c r="HM40" s="297"/>
      <c r="HN40" s="204"/>
      <c r="HO40" s="204"/>
      <c r="HP40" s="297"/>
      <c r="HQ40" s="297"/>
      <c r="HR40" s="297"/>
      <c r="HS40" s="297"/>
      <c r="HT40" s="297"/>
      <c r="HU40" s="297"/>
      <c r="HV40" s="297"/>
      <c r="HW40" s="297"/>
      <c r="HX40" s="297"/>
      <c r="HY40" s="297"/>
      <c r="HZ40" s="297"/>
      <c r="IA40" s="204"/>
      <c r="IB40" s="204"/>
      <c r="IC40" s="297"/>
      <c r="ID40" s="297"/>
      <c r="IE40" s="297"/>
      <c r="IF40" s="297"/>
      <c r="IG40" s="297"/>
      <c r="IH40" s="297"/>
      <c r="II40" s="297"/>
      <c r="IJ40" s="297"/>
      <c r="IK40" s="297"/>
      <c r="IL40" s="297"/>
      <c r="IM40" s="297"/>
      <c r="IN40" s="204"/>
      <c r="IO40" s="204"/>
      <c r="IP40" s="297"/>
      <c r="IQ40" s="297"/>
      <c r="IR40" s="297"/>
      <c r="IS40" s="297"/>
      <c r="IT40" s="297"/>
      <c r="IU40" s="297"/>
      <c r="IV40" s="297"/>
    </row>
    <row r="41" spans="1:256" x14ac:dyDescent="0.2">
      <c r="A41" s="215"/>
      <c r="B41" s="216"/>
      <c r="C41" s="292"/>
      <c r="D41" s="292"/>
      <c r="E41" s="292"/>
      <c r="F41" s="292"/>
      <c r="G41" s="292"/>
      <c r="H41" s="292"/>
      <c r="I41" s="292"/>
      <c r="J41" s="292"/>
      <c r="K41" s="292"/>
      <c r="L41" s="292"/>
      <c r="M41" s="293"/>
      <c r="N41" s="208"/>
      <c r="O41" s="208"/>
      <c r="P41" s="219"/>
      <c r="Q41" s="219"/>
      <c r="R41" s="219"/>
      <c r="S41" s="219"/>
      <c r="T41" s="219"/>
      <c r="U41" s="219"/>
      <c r="V41" s="219"/>
      <c r="W41" s="219"/>
      <c r="X41" s="219"/>
      <c r="Y41" s="219"/>
      <c r="Z41" s="219"/>
      <c r="AA41" s="204"/>
      <c r="AB41" s="204"/>
      <c r="AC41" s="209"/>
      <c r="AD41" s="209"/>
      <c r="AE41" s="209"/>
      <c r="AF41" s="209"/>
      <c r="AG41" s="209"/>
      <c r="AH41" s="209"/>
      <c r="AI41" s="209"/>
      <c r="AJ41" s="209"/>
      <c r="AK41" s="209"/>
      <c r="AL41" s="209"/>
      <c r="AM41" s="209"/>
      <c r="AN41" s="204"/>
      <c r="AO41" s="204"/>
      <c r="AP41" s="209"/>
      <c r="AQ41" s="209"/>
      <c r="AR41" s="209"/>
      <c r="AS41" s="209"/>
      <c r="AT41" s="209"/>
      <c r="AU41" s="209"/>
      <c r="AV41" s="209"/>
      <c r="AW41" s="209"/>
      <c r="AX41" s="209"/>
      <c r="AY41" s="209"/>
      <c r="AZ41" s="209"/>
      <c r="BA41" s="204"/>
      <c r="BB41" s="204"/>
      <c r="BC41" s="209"/>
      <c r="BD41" s="209"/>
      <c r="BE41" s="209"/>
      <c r="BF41" s="209"/>
      <c r="BG41" s="209"/>
      <c r="BH41" s="209"/>
      <c r="BI41" s="209"/>
      <c r="BJ41" s="209"/>
      <c r="BK41" s="209"/>
      <c r="BL41" s="209"/>
      <c r="BM41" s="209"/>
      <c r="BN41" s="204"/>
      <c r="BO41" s="204"/>
      <c r="BP41" s="209"/>
      <c r="BQ41" s="209"/>
      <c r="BR41" s="209"/>
      <c r="BS41" s="209"/>
      <c r="BT41" s="209"/>
      <c r="BU41" s="209"/>
      <c r="BV41" s="209"/>
      <c r="BW41" s="209"/>
      <c r="BX41" s="209"/>
      <c r="BY41" s="209"/>
      <c r="BZ41" s="209"/>
      <c r="CA41" s="204"/>
      <c r="CB41" s="204"/>
      <c r="CC41" s="209"/>
      <c r="CD41" s="209"/>
      <c r="CE41" s="209"/>
      <c r="CF41" s="209"/>
      <c r="CG41" s="209"/>
      <c r="CH41" s="209"/>
      <c r="CI41" s="209"/>
      <c r="CJ41" s="209"/>
      <c r="CK41" s="209"/>
      <c r="CL41" s="209"/>
      <c r="CM41" s="209"/>
      <c r="CN41" s="204"/>
      <c r="CO41" s="204"/>
      <c r="CP41" s="209"/>
      <c r="CQ41" s="209"/>
      <c r="CR41" s="209"/>
      <c r="CS41" s="209"/>
      <c r="CT41" s="209"/>
      <c r="CU41" s="209"/>
      <c r="CV41" s="209"/>
      <c r="CW41" s="209"/>
      <c r="CX41" s="209"/>
      <c r="CY41" s="209"/>
      <c r="CZ41" s="209"/>
      <c r="DA41" s="204"/>
      <c r="DB41" s="204"/>
      <c r="DC41" s="209"/>
      <c r="DD41" s="209"/>
      <c r="DE41" s="209"/>
      <c r="DF41" s="209"/>
      <c r="DG41" s="209"/>
      <c r="DH41" s="209"/>
      <c r="DI41" s="209"/>
      <c r="DJ41" s="209"/>
      <c r="DK41" s="209"/>
      <c r="DL41" s="209"/>
      <c r="DM41" s="209"/>
      <c r="DN41" s="204"/>
      <c r="DO41" s="204"/>
      <c r="DP41" s="209"/>
      <c r="DQ41" s="209"/>
      <c r="DR41" s="209"/>
      <c r="DS41" s="209"/>
      <c r="DT41" s="209"/>
      <c r="DU41" s="209"/>
      <c r="DV41" s="209"/>
      <c r="DW41" s="209"/>
      <c r="DX41" s="209"/>
      <c r="DY41" s="209"/>
      <c r="DZ41" s="209"/>
      <c r="EA41" s="204"/>
      <c r="EB41" s="204"/>
      <c r="EC41" s="209"/>
      <c r="ED41" s="209"/>
      <c r="EE41" s="209"/>
      <c r="EF41" s="209"/>
      <c r="EG41" s="209"/>
      <c r="EH41" s="209"/>
      <c r="EI41" s="209"/>
      <c r="EJ41" s="209"/>
      <c r="EK41" s="209"/>
      <c r="EL41" s="209"/>
      <c r="EM41" s="209"/>
      <c r="EN41" s="204"/>
      <c r="EO41" s="204"/>
      <c r="EP41" s="209"/>
      <c r="EQ41" s="209"/>
      <c r="ER41" s="209"/>
      <c r="ES41" s="209"/>
      <c r="ET41" s="209"/>
      <c r="EU41" s="209"/>
      <c r="EV41" s="209"/>
      <c r="EW41" s="209"/>
      <c r="EX41" s="209"/>
      <c r="EY41" s="209"/>
      <c r="EZ41" s="209"/>
      <c r="FA41" s="204"/>
      <c r="FB41" s="204"/>
      <c r="FC41" s="209"/>
      <c r="FD41" s="209"/>
      <c r="FE41" s="209"/>
      <c r="FF41" s="209"/>
      <c r="FG41" s="209"/>
      <c r="FH41" s="209"/>
      <c r="FI41" s="209"/>
      <c r="FJ41" s="209"/>
      <c r="FK41" s="209"/>
      <c r="FL41" s="209"/>
      <c r="FM41" s="209"/>
      <c r="FN41" s="204"/>
      <c r="FO41" s="204"/>
      <c r="FP41" s="209"/>
      <c r="FQ41" s="209"/>
      <c r="FR41" s="209"/>
      <c r="FS41" s="209"/>
      <c r="FT41" s="209"/>
      <c r="FU41" s="209"/>
      <c r="FV41" s="209"/>
      <c r="FW41" s="209"/>
      <c r="FX41" s="209"/>
      <c r="FY41" s="209"/>
      <c r="FZ41" s="209"/>
      <c r="GA41" s="204"/>
      <c r="GB41" s="204"/>
      <c r="GC41" s="209"/>
      <c r="GD41" s="209"/>
      <c r="GE41" s="209"/>
      <c r="GF41" s="209"/>
      <c r="GG41" s="209"/>
      <c r="GH41" s="209"/>
      <c r="GI41" s="209"/>
      <c r="GJ41" s="209"/>
      <c r="GK41" s="209"/>
      <c r="GL41" s="209"/>
      <c r="GM41" s="209"/>
      <c r="GN41" s="204"/>
      <c r="GO41" s="204"/>
      <c r="GP41" s="209"/>
      <c r="GQ41" s="209"/>
      <c r="GR41" s="209"/>
      <c r="GS41" s="209"/>
      <c r="GT41" s="209"/>
      <c r="GU41" s="209"/>
      <c r="GV41" s="209"/>
      <c r="GW41" s="209"/>
      <c r="GX41" s="209"/>
      <c r="GY41" s="209"/>
      <c r="GZ41" s="209"/>
      <c r="HA41" s="204"/>
      <c r="HB41" s="204"/>
      <c r="HC41" s="209"/>
      <c r="HD41" s="209"/>
      <c r="HE41" s="209"/>
      <c r="HF41" s="209"/>
      <c r="HG41" s="209"/>
      <c r="HH41" s="209"/>
      <c r="HI41" s="209"/>
      <c r="HJ41" s="209"/>
      <c r="HK41" s="209"/>
      <c r="HL41" s="209"/>
      <c r="HM41" s="209"/>
      <c r="HN41" s="204"/>
      <c r="HO41" s="204"/>
      <c r="HP41" s="209"/>
      <c r="HQ41" s="209"/>
      <c r="HR41" s="209"/>
      <c r="HS41" s="209"/>
      <c r="HT41" s="209"/>
      <c r="HU41" s="209"/>
      <c r="HV41" s="209"/>
      <c r="HW41" s="209"/>
      <c r="HX41" s="209"/>
      <c r="HY41" s="209"/>
      <c r="HZ41" s="209"/>
      <c r="IA41" s="204"/>
      <c r="IB41" s="204"/>
      <c r="IC41" s="209"/>
      <c r="ID41" s="209"/>
      <c r="IE41" s="209"/>
      <c r="IF41" s="209"/>
      <c r="IG41" s="209"/>
      <c r="IH41" s="209"/>
      <c r="II41" s="209"/>
      <c r="IJ41" s="209"/>
      <c r="IK41" s="209"/>
      <c r="IL41" s="209"/>
      <c r="IM41" s="209"/>
      <c r="IN41" s="204"/>
      <c r="IO41" s="204"/>
      <c r="IP41" s="209"/>
      <c r="IQ41" s="209"/>
      <c r="IR41" s="209"/>
      <c r="IS41" s="209"/>
      <c r="IT41" s="209"/>
      <c r="IU41" s="209"/>
      <c r="IV41" s="209"/>
    </row>
    <row r="42" spans="1:256" x14ac:dyDescent="0.2">
      <c r="A42" s="215"/>
      <c r="B42" s="216"/>
      <c r="C42" s="292"/>
      <c r="D42" s="292"/>
      <c r="E42" s="292"/>
      <c r="F42" s="292"/>
      <c r="G42" s="292"/>
      <c r="H42" s="292"/>
      <c r="I42" s="292"/>
      <c r="J42" s="292"/>
      <c r="K42" s="292"/>
      <c r="L42" s="292"/>
      <c r="M42" s="293"/>
      <c r="N42" s="208"/>
      <c r="O42" s="208"/>
      <c r="P42" s="219"/>
      <c r="Q42" s="219"/>
      <c r="R42" s="219"/>
      <c r="S42" s="219"/>
      <c r="T42" s="219"/>
      <c r="U42" s="219"/>
      <c r="V42" s="219"/>
      <c r="W42" s="219"/>
      <c r="X42" s="219"/>
      <c r="Y42" s="219"/>
      <c r="Z42" s="219"/>
      <c r="AA42" s="204"/>
      <c r="AB42" s="204"/>
      <c r="AC42" s="209"/>
      <c r="AD42" s="209"/>
      <c r="AE42" s="209"/>
      <c r="AF42" s="209"/>
      <c r="AG42" s="209"/>
      <c r="AH42" s="209"/>
      <c r="AI42" s="209"/>
      <c r="AJ42" s="209"/>
      <c r="AK42" s="209"/>
      <c r="AL42" s="209"/>
      <c r="AM42" s="209"/>
      <c r="AN42" s="204"/>
      <c r="AO42" s="204"/>
      <c r="AP42" s="209"/>
      <c r="AQ42" s="209"/>
      <c r="AR42" s="209"/>
      <c r="AS42" s="209"/>
      <c r="AT42" s="209"/>
      <c r="AU42" s="209"/>
      <c r="AV42" s="209"/>
      <c r="AW42" s="209"/>
      <c r="AX42" s="209"/>
      <c r="AY42" s="209"/>
      <c r="AZ42" s="209"/>
      <c r="BA42" s="204"/>
      <c r="BB42" s="204"/>
      <c r="BC42" s="209"/>
      <c r="BD42" s="209"/>
      <c r="BE42" s="209"/>
      <c r="BF42" s="209"/>
      <c r="BG42" s="209"/>
      <c r="BH42" s="209"/>
      <c r="BI42" s="209"/>
      <c r="BJ42" s="209"/>
      <c r="BK42" s="209"/>
      <c r="BL42" s="209"/>
      <c r="BM42" s="209"/>
      <c r="BN42" s="204"/>
      <c r="BO42" s="204"/>
      <c r="BP42" s="209"/>
      <c r="BQ42" s="209"/>
      <c r="BR42" s="209"/>
      <c r="BS42" s="209"/>
      <c r="BT42" s="209"/>
      <c r="BU42" s="209"/>
      <c r="BV42" s="209"/>
      <c r="BW42" s="209"/>
      <c r="BX42" s="209"/>
      <c r="BY42" s="209"/>
      <c r="BZ42" s="209"/>
      <c r="CA42" s="204"/>
      <c r="CB42" s="204"/>
      <c r="CC42" s="209"/>
      <c r="CD42" s="209"/>
      <c r="CE42" s="209"/>
      <c r="CF42" s="209"/>
      <c r="CG42" s="209"/>
      <c r="CH42" s="209"/>
      <c r="CI42" s="209"/>
      <c r="CJ42" s="209"/>
      <c r="CK42" s="209"/>
      <c r="CL42" s="209"/>
      <c r="CM42" s="209"/>
      <c r="CN42" s="204"/>
      <c r="CO42" s="204"/>
      <c r="CP42" s="209"/>
      <c r="CQ42" s="209"/>
      <c r="CR42" s="209"/>
      <c r="CS42" s="209"/>
      <c r="CT42" s="209"/>
      <c r="CU42" s="209"/>
      <c r="CV42" s="209"/>
      <c r="CW42" s="209"/>
      <c r="CX42" s="209"/>
      <c r="CY42" s="209"/>
      <c r="CZ42" s="209"/>
      <c r="DA42" s="204"/>
      <c r="DB42" s="204"/>
      <c r="DC42" s="209"/>
      <c r="DD42" s="209"/>
      <c r="DE42" s="209"/>
      <c r="DF42" s="209"/>
      <c r="DG42" s="209"/>
      <c r="DH42" s="209"/>
      <c r="DI42" s="209"/>
      <c r="DJ42" s="209"/>
      <c r="DK42" s="209"/>
      <c r="DL42" s="209"/>
      <c r="DM42" s="209"/>
      <c r="DN42" s="204"/>
      <c r="DO42" s="204"/>
      <c r="DP42" s="209"/>
      <c r="DQ42" s="209"/>
      <c r="DR42" s="209"/>
      <c r="DS42" s="209"/>
      <c r="DT42" s="209"/>
      <c r="DU42" s="209"/>
      <c r="DV42" s="209"/>
      <c r="DW42" s="209"/>
      <c r="DX42" s="209"/>
      <c r="DY42" s="209"/>
      <c r="DZ42" s="209"/>
      <c r="EA42" s="204"/>
      <c r="EB42" s="204"/>
      <c r="EC42" s="209"/>
      <c r="ED42" s="209"/>
      <c r="EE42" s="209"/>
      <c r="EF42" s="209"/>
      <c r="EG42" s="209"/>
      <c r="EH42" s="209"/>
      <c r="EI42" s="209"/>
      <c r="EJ42" s="209"/>
      <c r="EK42" s="209"/>
      <c r="EL42" s="209"/>
      <c r="EM42" s="209"/>
      <c r="EN42" s="204"/>
      <c r="EO42" s="204"/>
      <c r="EP42" s="209"/>
      <c r="EQ42" s="209"/>
      <c r="ER42" s="209"/>
      <c r="ES42" s="209"/>
      <c r="ET42" s="209"/>
      <c r="EU42" s="209"/>
      <c r="EV42" s="209"/>
      <c r="EW42" s="209"/>
      <c r="EX42" s="209"/>
      <c r="EY42" s="209"/>
      <c r="EZ42" s="209"/>
      <c r="FA42" s="204"/>
      <c r="FB42" s="204"/>
      <c r="FC42" s="209"/>
      <c r="FD42" s="209"/>
      <c r="FE42" s="209"/>
      <c r="FF42" s="209"/>
      <c r="FG42" s="209"/>
      <c r="FH42" s="209"/>
      <c r="FI42" s="209"/>
      <c r="FJ42" s="209"/>
      <c r="FK42" s="209"/>
      <c r="FL42" s="209"/>
      <c r="FM42" s="209"/>
      <c r="FN42" s="204"/>
      <c r="FO42" s="204"/>
      <c r="FP42" s="209"/>
      <c r="FQ42" s="209"/>
      <c r="FR42" s="209"/>
      <c r="FS42" s="209"/>
      <c r="FT42" s="209"/>
      <c r="FU42" s="209"/>
      <c r="FV42" s="209"/>
      <c r="FW42" s="209"/>
      <c r="FX42" s="209"/>
      <c r="FY42" s="209"/>
      <c r="FZ42" s="209"/>
      <c r="GA42" s="204"/>
      <c r="GB42" s="204"/>
      <c r="GC42" s="209"/>
      <c r="GD42" s="209"/>
      <c r="GE42" s="209"/>
      <c r="GF42" s="209"/>
      <c r="GG42" s="209"/>
      <c r="GH42" s="209"/>
      <c r="GI42" s="209"/>
      <c r="GJ42" s="209"/>
      <c r="GK42" s="209"/>
      <c r="GL42" s="209"/>
      <c r="GM42" s="209"/>
      <c r="GN42" s="204"/>
      <c r="GO42" s="204"/>
      <c r="GP42" s="209"/>
      <c r="GQ42" s="209"/>
      <c r="GR42" s="209"/>
      <c r="GS42" s="209"/>
      <c r="GT42" s="209"/>
      <c r="GU42" s="209"/>
      <c r="GV42" s="209"/>
      <c r="GW42" s="209"/>
      <c r="GX42" s="209"/>
      <c r="GY42" s="209"/>
      <c r="GZ42" s="209"/>
      <c r="HA42" s="204"/>
      <c r="HB42" s="204"/>
      <c r="HC42" s="209"/>
      <c r="HD42" s="209"/>
      <c r="HE42" s="209"/>
      <c r="HF42" s="209"/>
      <c r="HG42" s="209"/>
      <c r="HH42" s="209"/>
      <c r="HI42" s="209"/>
      <c r="HJ42" s="209"/>
      <c r="HK42" s="209"/>
      <c r="HL42" s="209"/>
      <c r="HM42" s="209"/>
      <c r="HN42" s="204"/>
      <c r="HO42" s="204"/>
      <c r="HP42" s="209"/>
      <c r="HQ42" s="209"/>
      <c r="HR42" s="209"/>
      <c r="HS42" s="209"/>
      <c r="HT42" s="209"/>
      <c r="HU42" s="209"/>
      <c r="HV42" s="209"/>
      <c r="HW42" s="209"/>
      <c r="HX42" s="209"/>
      <c r="HY42" s="209"/>
      <c r="HZ42" s="209"/>
      <c r="IA42" s="204"/>
      <c r="IB42" s="204"/>
      <c r="IC42" s="209"/>
      <c r="ID42" s="209"/>
      <c r="IE42" s="209"/>
      <c r="IF42" s="209"/>
      <c r="IG42" s="209"/>
      <c r="IH42" s="209"/>
      <c r="II42" s="209"/>
      <c r="IJ42" s="209"/>
      <c r="IK42" s="209"/>
      <c r="IL42" s="209"/>
      <c r="IM42" s="209"/>
      <c r="IN42" s="204"/>
      <c r="IO42" s="204"/>
      <c r="IP42" s="209"/>
      <c r="IQ42" s="209"/>
      <c r="IR42" s="209"/>
      <c r="IS42" s="209"/>
      <c r="IT42" s="209"/>
      <c r="IU42" s="209"/>
      <c r="IV42" s="209"/>
    </row>
    <row r="43" spans="1:256" x14ac:dyDescent="0.2">
      <c r="A43" s="215"/>
      <c r="B43" s="216"/>
      <c r="C43" s="292"/>
      <c r="D43" s="292"/>
      <c r="E43" s="292"/>
      <c r="F43" s="292"/>
      <c r="G43" s="292"/>
      <c r="H43" s="292"/>
      <c r="I43" s="292"/>
      <c r="J43" s="292"/>
      <c r="K43" s="292"/>
      <c r="L43" s="292"/>
      <c r="M43" s="293"/>
      <c r="N43" s="208"/>
      <c r="O43" s="208"/>
      <c r="P43" s="219"/>
      <c r="Q43" s="219"/>
      <c r="R43" s="219"/>
      <c r="S43" s="219"/>
      <c r="T43" s="219"/>
      <c r="U43" s="219"/>
      <c r="V43" s="219"/>
      <c r="W43" s="219"/>
      <c r="X43" s="219"/>
      <c r="Y43" s="219"/>
      <c r="Z43" s="219"/>
      <c r="AA43" s="204"/>
      <c r="AB43" s="204"/>
      <c r="AC43" s="209"/>
      <c r="AD43" s="209"/>
      <c r="AE43" s="209"/>
      <c r="AF43" s="209"/>
      <c r="AG43" s="209"/>
      <c r="AH43" s="209"/>
      <c r="AI43" s="209"/>
      <c r="AJ43" s="209"/>
      <c r="AK43" s="209"/>
      <c r="AL43" s="209"/>
      <c r="AM43" s="209"/>
      <c r="AN43" s="204"/>
      <c r="AO43" s="204"/>
      <c r="AP43" s="209"/>
      <c r="AQ43" s="209"/>
      <c r="AR43" s="209"/>
      <c r="AS43" s="209"/>
      <c r="AT43" s="209"/>
      <c r="AU43" s="209"/>
      <c r="AV43" s="209"/>
      <c r="AW43" s="209"/>
      <c r="AX43" s="209"/>
      <c r="AY43" s="209"/>
      <c r="AZ43" s="209"/>
      <c r="BA43" s="204"/>
      <c r="BB43" s="204"/>
      <c r="BC43" s="209"/>
      <c r="BD43" s="209"/>
      <c r="BE43" s="209"/>
      <c r="BF43" s="209"/>
      <c r="BG43" s="209"/>
      <c r="BH43" s="209"/>
      <c r="BI43" s="209"/>
      <c r="BJ43" s="209"/>
      <c r="BK43" s="209"/>
      <c r="BL43" s="209"/>
      <c r="BM43" s="209"/>
      <c r="BN43" s="204"/>
      <c r="BO43" s="204"/>
      <c r="BP43" s="209"/>
      <c r="BQ43" s="209"/>
      <c r="BR43" s="209"/>
      <c r="BS43" s="209"/>
      <c r="BT43" s="209"/>
      <c r="BU43" s="209"/>
      <c r="BV43" s="209"/>
      <c r="BW43" s="209"/>
      <c r="BX43" s="209"/>
      <c r="BY43" s="209"/>
      <c r="BZ43" s="209"/>
      <c r="CA43" s="204"/>
      <c r="CB43" s="204"/>
      <c r="CC43" s="209"/>
      <c r="CD43" s="209"/>
      <c r="CE43" s="209"/>
      <c r="CF43" s="209"/>
      <c r="CG43" s="209"/>
      <c r="CH43" s="209"/>
      <c r="CI43" s="209"/>
      <c r="CJ43" s="209"/>
      <c r="CK43" s="209"/>
      <c r="CL43" s="209"/>
      <c r="CM43" s="209"/>
      <c r="CN43" s="204"/>
      <c r="CO43" s="204"/>
      <c r="CP43" s="209"/>
      <c r="CQ43" s="209"/>
      <c r="CR43" s="209"/>
      <c r="CS43" s="209"/>
      <c r="CT43" s="209"/>
      <c r="CU43" s="209"/>
      <c r="CV43" s="209"/>
      <c r="CW43" s="209"/>
      <c r="CX43" s="209"/>
      <c r="CY43" s="209"/>
      <c r="CZ43" s="209"/>
      <c r="DA43" s="204"/>
      <c r="DB43" s="204"/>
      <c r="DC43" s="209"/>
      <c r="DD43" s="209"/>
      <c r="DE43" s="209"/>
      <c r="DF43" s="209"/>
      <c r="DG43" s="209"/>
      <c r="DH43" s="209"/>
      <c r="DI43" s="209"/>
      <c r="DJ43" s="209"/>
      <c r="DK43" s="209"/>
      <c r="DL43" s="209"/>
      <c r="DM43" s="209"/>
      <c r="DN43" s="204"/>
      <c r="DO43" s="204"/>
      <c r="DP43" s="209"/>
      <c r="DQ43" s="209"/>
      <c r="DR43" s="209"/>
      <c r="DS43" s="209"/>
      <c r="DT43" s="209"/>
      <c r="DU43" s="209"/>
      <c r="DV43" s="209"/>
      <c r="DW43" s="209"/>
      <c r="DX43" s="209"/>
      <c r="DY43" s="209"/>
      <c r="DZ43" s="209"/>
      <c r="EA43" s="204"/>
      <c r="EB43" s="204"/>
      <c r="EC43" s="209"/>
      <c r="ED43" s="209"/>
      <c r="EE43" s="209"/>
      <c r="EF43" s="209"/>
      <c r="EG43" s="209"/>
      <c r="EH43" s="209"/>
      <c r="EI43" s="209"/>
      <c r="EJ43" s="209"/>
      <c r="EK43" s="209"/>
      <c r="EL43" s="209"/>
      <c r="EM43" s="209"/>
      <c r="EN43" s="204"/>
      <c r="EO43" s="204"/>
      <c r="EP43" s="209"/>
      <c r="EQ43" s="209"/>
      <c r="ER43" s="209"/>
      <c r="ES43" s="209"/>
      <c r="ET43" s="209"/>
      <c r="EU43" s="209"/>
      <c r="EV43" s="209"/>
      <c r="EW43" s="209"/>
      <c r="EX43" s="209"/>
      <c r="EY43" s="209"/>
      <c r="EZ43" s="209"/>
      <c r="FA43" s="204"/>
      <c r="FB43" s="204"/>
      <c r="FC43" s="209"/>
      <c r="FD43" s="209"/>
      <c r="FE43" s="209"/>
      <c r="FF43" s="209"/>
      <c r="FG43" s="209"/>
      <c r="FH43" s="209"/>
      <c r="FI43" s="209"/>
      <c r="FJ43" s="209"/>
      <c r="FK43" s="209"/>
      <c r="FL43" s="209"/>
      <c r="FM43" s="209"/>
      <c r="FN43" s="204"/>
      <c r="FO43" s="204"/>
      <c r="FP43" s="209"/>
      <c r="FQ43" s="209"/>
      <c r="FR43" s="209"/>
      <c r="FS43" s="209"/>
      <c r="FT43" s="209"/>
      <c r="FU43" s="209"/>
      <c r="FV43" s="209"/>
      <c r="FW43" s="209"/>
      <c r="FX43" s="209"/>
      <c r="FY43" s="209"/>
      <c r="FZ43" s="209"/>
      <c r="GA43" s="204"/>
      <c r="GB43" s="204"/>
      <c r="GC43" s="209"/>
      <c r="GD43" s="209"/>
      <c r="GE43" s="209"/>
      <c r="GF43" s="209"/>
      <c r="GG43" s="209"/>
      <c r="GH43" s="209"/>
      <c r="GI43" s="209"/>
      <c r="GJ43" s="209"/>
      <c r="GK43" s="209"/>
      <c r="GL43" s="209"/>
      <c r="GM43" s="209"/>
      <c r="GN43" s="204"/>
      <c r="GO43" s="204"/>
      <c r="GP43" s="209"/>
      <c r="GQ43" s="209"/>
      <c r="GR43" s="209"/>
      <c r="GS43" s="209"/>
      <c r="GT43" s="209"/>
      <c r="GU43" s="209"/>
      <c r="GV43" s="209"/>
      <c r="GW43" s="209"/>
      <c r="GX43" s="209"/>
      <c r="GY43" s="209"/>
      <c r="GZ43" s="209"/>
      <c r="HA43" s="204"/>
      <c r="HB43" s="204"/>
      <c r="HC43" s="209"/>
      <c r="HD43" s="209"/>
      <c r="HE43" s="209"/>
      <c r="HF43" s="209"/>
      <c r="HG43" s="209"/>
      <c r="HH43" s="209"/>
      <c r="HI43" s="209"/>
      <c r="HJ43" s="209"/>
      <c r="HK43" s="209"/>
      <c r="HL43" s="209"/>
      <c r="HM43" s="209"/>
      <c r="HN43" s="204"/>
      <c r="HO43" s="204"/>
      <c r="HP43" s="209"/>
      <c r="HQ43" s="209"/>
      <c r="HR43" s="209"/>
      <c r="HS43" s="209"/>
      <c r="HT43" s="209"/>
      <c r="HU43" s="209"/>
      <c r="HV43" s="209"/>
      <c r="HW43" s="209"/>
      <c r="HX43" s="209"/>
      <c r="HY43" s="209"/>
      <c r="HZ43" s="209"/>
      <c r="IA43" s="204"/>
      <c r="IB43" s="204"/>
      <c r="IC43" s="209"/>
      <c r="ID43" s="209"/>
      <c r="IE43" s="209"/>
      <c r="IF43" s="209"/>
      <c r="IG43" s="209"/>
      <c r="IH43" s="209"/>
      <c r="II43" s="209"/>
      <c r="IJ43" s="209"/>
      <c r="IK43" s="209"/>
      <c r="IL43" s="209"/>
      <c r="IM43" s="209"/>
      <c r="IN43" s="204"/>
      <c r="IO43" s="204"/>
      <c r="IP43" s="209"/>
      <c r="IQ43" s="209"/>
      <c r="IR43" s="209"/>
      <c r="IS43" s="209"/>
      <c r="IT43" s="209"/>
      <c r="IU43" s="209"/>
      <c r="IV43" s="209"/>
    </row>
    <row r="44" spans="1:256" x14ac:dyDescent="0.2">
      <c r="A44" s="215"/>
      <c r="B44" s="216"/>
      <c r="C44" s="292"/>
      <c r="D44" s="292"/>
      <c r="E44" s="292"/>
      <c r="F44" s="292"/>
      <c r="G44" s="292"/>
      <c r="H44" s="292"/>
      <c r="I44" s="292"/>
      <c r="J44" s="292"/>
      <c r="K44" s="292"/>
      <c r="L44" s="292"/>
      <c r="M44" s="293"/>
      <c r="N44" s="208"/>
      <c r="O44" s="208"/>
      <c r="P44" s="219"/>
      <c r="Q44" s="219"/>
      <c r="R44" s="219"/>
      <c r="S44" s="219"/>
      <c r="T44" s="219"/>
      <c r="U44" s="219"/>
      <c r="V44" s="219"/>
      <c r="W44" s="219"/>
      <c r="X44" s="219"/>
      <c r="Y44" s="219"/>
      <c r="Z44" s="219"/>
      <c r="AA44" s="204"/>
      <c r="AB44" s="204"/>
      <c r="AC44" s="209"/>
      <c r="AD44" s="209"/>
      <c r="AE44" s="209"/>
      <c r="AF44" s="209"/>
      <c r="AG44" s="209"/>
      <c r="AH44" s="209"/>
      <c r="AI44" s="209"/>
      <c r="AJ44" s="209"/>
      <c r="AK44" s="209"/>
      <c r="AL44" s="209"/>
      <c r="AM44" s="209"/>
      <c r="AN44" s="204"/>
      <c r="AO44" s="204"/>
      <c r="AP44" s="209"/>
      <c r="AQ44" s="209"/>
      <c r="AR44" s="209"/>
      <c r="AS44" s="209"/>
      <c r="AT44" s="209"/>
      <c r="AU44" s="209"/>
      <c r="AV44" s="209"/>
      <c r="AW44" s="209"/>
      <c r="AX44" s="209"/>
      <c r="AY44" s="209"/>
      <c r="AZ44" s="209"/>
      <c r="BA44" s="204"/>
      <c r="BB44" s="204"/>
      <c r="BC44" s="209"/>
      <c r="BD44" s="209"/>
      <c r="BE44" s="209"/>
      <c r="BF44" s="209"/>
      <c r="BG44" s="209"/>
      <c r="BH44" s="209"/>
      <c r="BI44" s="209"/>
      <c r="BJ44" s="209"/>
      <c r="BK44" s="209"/>
      <c r="BL44" s="209"/>
      <c r="BM44" s="209"/>
      <c r="BN44" s="204"/>
      <c r="BO44" s="204"/>
      <c r="BP44" s="209"/>
      <c r="BQ44" s="209"/>
      <c r="BR44" s="209"/>
      <c r="BS44" s="209"/>
      <c r="BT44" s="209"/>
      <c r="BU44" s="209"/>
      <c r="BV44" s="209"/>
      <c r="BW44" s="209"/>
      <c r="BX44" s="209"/>
      <c r="BY44" s="209"/>
      <c r="BZ44" s="209"/>
      <c r="CA44" s="204"/>
      <c r="CB44" s="204"/>
      <c r="CC44" s="209"/>
      <c r="CD44" s="209"/>
      <c r="CE44" s="209"/>
      <c r="CF44" s="209"/>
      <c r="CG44" s="209"/>
      <c r="CH44" s="209"/>
      <c r="CI44" s="209"/>
      <c r="CJ44" s="209"/>
      <c r="CK44" s="209"/>
      <c r="CL44" s="209"/>
      <c r="CM44" s="209"/>
      <c r="CN44" s="204"/>
      <c r="CO44" s="204"/>
      <c r="CP44" s="209"/>
      <c r="CQ44" s="209"/>
      <c r="CR44" s="209"/>
      <c r="CS44" s="209"/>
      <c r="CT44" s="209"/>
      <c r="CU44" s="209"/>
      <c r="CV44" s="209"/>
      <c r="CW44" s="209"/>
      <c r="CX44" s="209"/>
      <c r="CY44" s="209"/>
      <c r="CZ44" s="209"/>
      <c r="DA44" s="204"/>
      <c r="DB44" s="204"/>
      <c r="DC44" s="209"/>
      <c r="DD44" s="209"/>
      <c r="DE44" s="209"/>
      <c r="DF44" s="209"/>
      <c r="DG44" s="209"/>
      <c r="DH44" s="209"/>
      <c r="DI44" s="209"/>
      <c r="DJ44" s="209"/>
      <c r="DK44" s="209"/>
      <c r="DL44" s="209"/>
      <c r="DM44" s="209"/>
      <c r="DN44" s="204"/>
      <c r="DO44" s="204"/>
      <c r="DP44" s="209"/>
      <c r="DQ44" s="209"/>
      <c r="DR44" s="209"/>
      <c r="DS44" s="209"/>
      <c r="DT44" s="209"/>
      <c r="DU44" s="209"/>
      <c r="DV44" s="209"/>
      <c r="DW44" s="209"/>
      <c r="DX44" s="209"/>
      <c r="DY44" s="209"/>
      <c r="DZ44" s="209"/>
      <c r="EA44" s="204"/>
      <c r="EB44" s="204"/>
      <c r="EC44" s="209"/>
      <c r="ED44" s="209"/>
      <c r="EE44" s="209"/>
      <c r="EF44" s="209"/>
      <c r="EG44" s="209"/>
      <c r="EH44" s="209"/>
      <c r="EI44" s="209"/>
      <c r="EJ44" s="209"/>
      <c r="EK44" s="209"/>
      <c r="EL44" s="209"/>
      <c r="EM44" s="209"/>
      <c r="EN44" s="204"/>
      <c r="EO44" s="204"/>
      <c r="EP44" s="209"/>
      <c r="EQ44" s="209"/>
      <c r="ER44" s="209"/>
      <c r="ES44" s="209"/>
      <c r="ET44" s="209"/>
      <c r="EU44" s="209"/>
      <c r="EV44" s="209"/>
      <c r="EW44" s="209"/>
      <c r="EX44" s="209"/>
      <c r="EY44" s="209"/>
      <c r="EZ44" s="209"/>
      <c r="FA44" s="204"/>
      <c r="FB44" s="204"/>
      <c r="FC44" s="209"/>
      <c r="FD44" s="209"/>
      <c r="FE44" s="209"/>
      <c r="FF44" s="209"/>
      <c r="FG44" s="209"/>
      <c r="FH44" s="209"/>
      <c r="FI44" s="209"/>
      <c r="FJ44" s="209"/>
      <c r="FK44" s="209"/>
      <c r="FL44" s="209"/>
      <c r="FM44" s="209"/>
      <c r="FN44" s="204"/>
      <c r="FO44" s="204"/>
      <c r="FP44" s="209"/>
      <c r="FQ44" s="209"/>
      <c r="FR44" s="209"/>
      <c r="FS44" s="209"/>
      <c r="FT44" s="209"/>
      <c r="FU44" s="209"/>
      <c r="FV44" s="209"/>
      <c r="FW44" s="209"/>
      <c r="FX44" s="209"/>
      <c r="FY44" s="209"/>
      <c r="FZ44" s="209"/>
      <c r="GA44" s="204"/>
      <c r="GB44" s="204"/>
      <c r="GC44" s="209"/>
      <c r="GD44" s="209"/>
      <c r="GE44" s="209"/>
      <c r="GF44" s="209"/>
      <c r="GG44" s="209"/>
      <c r="GH44" s="209"/>
      <c r="GI44" s="209"/>
      <c r="GJ44" s="209"/>
      <c r="GK44" s="209"/>
      <c r="GL44" s="209"/>
      <c r="GM44" s="209"/>
      <c r="GN44" s="204"/>
      <c r="GO44" s="204"/>
      <c r="GP44" s="209"/>
      <c r="GQ44" s="209"/>
      <c r="GR44" s="209"/>
      <c r="GS44" s="209"/>
      <c r="GT44" s="209"/>
      <c r="GU44" s="209"/>
      <c r="GV44" s="209"/>
      <c r="GW44" s="209"/>
      <c r="GX44" s="209"/>
      <c r="GY44" s="209"/>
      <c r="GZ44" s="209"/>
      <c r="HA44" s="204"/>
      <c r="HB44" s="204"/>
      <c r="HC44" s="209"/>
      <c r="HD44" s="209"/>
      <c r="HE44" s="209"/>
      <c r="HF44" s="209"/>
      <c r="HG44" s="209"/>
      <c r="HH44" s="209"/>
      <c r="HI44" s="209"/>
      <c r="HJ44" s="209"/>
      <c r="HK44" s="209"/>
      <c r="HL44" s="209"/>
      <c r="HM44" s="209"/>
      <c r="HN44" s="204"/>
      <c r="HO44" s="204"/>
      <c r="HP44" s="209"/>
      <c r="HQ44" s="209"/>
      <c r="HR44" s="209"/>
      <c r="HS44" s="209"/>
      <c r="HT44" s="209"/>
      <c r="HU44" s="209"/>
      <c r="HV44" s="209"/>
      <c r="HW44" s="209"/>
      <c r="HX44" s="209"/>
      <c r="HY44" s="209"/>
      <c r="HZ44" s="209"/>
      <c r="IA44" s="204"/>
      <c r="IB44" s="204"/>
      <c r="IC44" s="209"/>
      <c r="ID44" s="209"/>
      <c r="IE44" s="209"/>
      <c r="IF44" s="209"/>
      <c r="IG44" s="209"/>
      <c r="IH44" s="209"/>
      <c r="II44" s="209"/>
      <c r="IJ44" s="209"/>
      <c r="IK44" s="209"/>
      <c r="IL44" s="209"/>
      <c r="IM44" s="209"/>
      <c r="IN44" s="204"/>
      <c r="IO44" s="204"/>
      <c r="IP44" s="209"/>
      <c r="IQ44" s="209"/>
      <c r="IR44" s="209"/>
      <c r="IS44" s="209"/>
      <c r="IT44" s="209"/>
      <c r="IU44" s="209"/>
      <c r="IV44" s="209"/>
    </row>
    <row r="45" spans="1:256" x14ac:dyDescent="0.2">
      <c r="A45" s="215"/>
      <c r="B45" s="216"/>
      <c r="C45" s="292"/>
      <c r="D45" s="292"/>
      <c r="E45" s="292"/>
      <c r="F45" s="292"/>
      <c r="G45" s="292"/>
      <c r="H45" s="292"/>
      <c r="I45" s="292"/>
      <c r="J45" s="292"/>
      <c r="K45" s="292"/>
      <c r="L45" s="292"/>
      <c r="M45" s="293"/>
      <c r="N45" s="208"/>
      <c r="O45" s="208"/>
      <c r="P45" s="219"/>
      <c r="Q45" s="219"/>
      <c r="R45" s="219"/>
      <c r="S45" s="219"/>
      <c r="T45" s="219"/>
      <c r="U45" s="219"/>
      <c r="V45" s="219"/>
      <c r="W45" s="219"/>
      <c r="X45" s="219"/>
      <c r="Y45" s="219"/>
      <c r="Z45" s="219"/>
      <c r="AA45" s="204"/>
      <c r="AB45" s="204"/>
      <c r="AC45" s="209"/>
      <c r="AD45" s="209"/>
      <c r="AE45" s="209"/>
      <c r="AF45" s="209"/>
      <c r="AG45" s="209"/>
      <c r="AH45" s="209"/>
      <c r="AI45" s="209"/>
      <c r="AJ45" s="209"/>
      <c r="AK45" s="209"/>
      <c r="AL45" s="209"/>
      <c r="AM45" s="209"/>
      <c r="AN45" s="204"/>
      <c r="AO45" s="204"/>
      <c r="AP45" s="209"/>
      <c r="AQ45" s="209"/>
      <c r="AR45" s="209"/>
      <c r="AS45" s="209"/>
      <c r="AT45" s="209"/>
      <c r="AU45" s="209"/>
      <c r="AV45" s="209"/>
      <c r="AW45" s="209"/>
      <c r="AX45" s="209"/>
      <c r="AY45" s="209"/>
      <c r="AZ45" s="209"/>
      <c r="BA45" s="204"/>
      <c r="BB45" s="204"/>
      <c r="BC45" s="209"/>
      <c r="BD45" s="209"/>
      <c r="BE45" s="209"/>
      <c r="BF45" s="209"/>
      <c r="BG45" s="209"/>
      <c r="BH45" s="209"/>
      <c r="BI45" s="209"/>
      <c r="BJ45" s="209"/>
      <c r="BK45" s="209"/>
      <c r="BL45" s="209"/>
      <c r="BM45" s="209"/>
      <c r="BN45" s="204"/>
      <c r="BO45" s="204"/>
      <c r="BP45" s="209"/>
      <c r="BQ45" s="209"/>
      <c r="BR45" s="209"/>
      <c r="BS45" s="209"/>
      <c r="BT45" s="209"/>
      <c r="BU45" s="209"/>
      <c r="BV45" s="209"/>
      <c r="BW45" s="209"/>
      <c r="BX45" s="209"/>
      <c r="BY45" s="209"/>
      <c r="BZ45" s="209"/>
      <c r="CA45" s="204"/>
      <c r="CB45" s="204"/>
      <c r="CC45" s="209"/>
      <c r="CD45" s="209"/>
      <c r="CE45" s="209"/>
      <c r="CF45" s="209"/>
      <c r="CG45" s="209"/>
      <c r="CH45" s="209"/>
      <c r="CI45" s="209"/>
      <c r="CJ45" s="209"/>
      <c r="CK45" s="209"/>
      <c r="CL45" s="209"/>
      <c r="CM45" s="209"/>
      <c r="CN45" s="204"/>
      <c r="CO45" s="204"/>
      <c r="CP45" s="209"/>
      <c r="CQ45" s="209"/>
      <c r="CR45" s="209"/>
      <c r="CS45" s="209"/>
      <c r="CT45" s="209"/>
      <c r="CU45" s="209"/>
      <c r="CV45" s="209"/>
      <c r="CW45" s="209"/>
      <c r="CX45" s="209"/>
      <c r="CY45" s="209"/>
      <c r="CZ45" s="209"/>
      <c r="DA45" s="204"/>
      <c r="DB45" s="204"/>
      <c r="DC45" s="209"/>
      <c r="DD45" s="209"/>
      <c r="DE45" s="209"/>
      <c r="DF45" s="209"/>
      <c r="DG45" s="209"/>
      <c r="DH45" s="209"/>
      <c r="DI45" s="209"/>
      <c r="DJ45" s="209"/>
      <c r="DK45" s="209"/>
      <c r="DL45" s="209"/>
      <c r="DM45" s="209"/>
      <c r="DN45" s="204"/>
      <c r="DO45" s="204"/>
      <c r="DP45" s="209"/>
      <c r="DQ45" s="209"/>
      <c r="DR45" s="209"/>
      <c r="DS45" s="209"/>
      <c r="DT45" s="209"/>
      <c r="DU45" s="209"/>
      <c r="DV45" s="209"/>
      <c r="DW45" s="209"/>
      <c r="DX45" s="209"/>
      <c r="DY45" s="209"/>
      <c r="DZ45" s="209"/>
      <c r="EA45" s="204"/>
      <c r="EB45" s="204"/>
      <c r="EC45" s="209"/>
      <c r="ED45" s="209"/>
      <c r="EE45" s="209"/>
      <c r="EF45" s="209"/>
      <c r="EG45" s="209"/>
      <c r="EH45" s="209"/>
      <c r="EI45" s="209"/>
      <c r="EJ45" s="209"/>
      <c r="EK45" s="209"/>
      <c r="EL45" s="209"/>
      <c r="EM45" s="209"/>
      <c r="EN45" s="204"/>
      <c r="EO45" s="204"/>
      <c r="EP45" s="209"/>
      <c r="EQ45" s="209"/>
      <c r="ER45" s="209"/>
      <c r="ES45" s="209"/>
      <c r="ET45" s="209"/>
      <c r="EU45" s="209"/>
      <c r="EV45" s="209"/>
      <c r="EW45" s="209"/>
      <c r="EX45" s="209"/>
      <c r="EY45" s="209"/>
      <c r="EZ45" s="209"/>
      <c r="FA45" s="204"/>
      <c r="FB45" s="204"/>
      <c r="FC45" s="209"/>
      <c r="FD45" s="209"/>
      <c r="FE45" s="209"/>
      <c r="FF45" s="209"/>
      <c r="FG45" s="209"/>
      <c r="FH45" s="209"/>
      <c r="FI45" s="209"/>
      <c r="FJ45" s="209"/>
      <c r="FK45" s="209"/>
      <c r="FL45" s="209"/>
      <c r="FM45" s="209"/>
      <c r="FN45" s="204"/>
      <c r="FO45" s="204"/>
      <c r="FP45" s="209"/>
      <c r="FQ45" s="209"/>
      <c r="FR45" s="209"/>
      <c r="FS45" s="209"/>
      <c r="FT45" s="209"/>
      <c r="FU45" s="209"/>
      <c r="FV45" s="209"/>
      <c r="FW45" s="209"/>
      <c r="FX45" s="209"/>
      <c r="FY45" s="209"/>
      <c r="FZ45" s="209"/>
      <c r="GA45" s="204"/>
      <c r="GB45" s="204"/>
      <c r="GC45" s="209"/>
      <c r="GD45" s="209"/>
      <c r="GE45" s="209"/>
      <c r="GF45" s="209"/>
      <c r="GG45" s="209"/>
      <c r="GH45" s="209"/>
      <c r="GI45" s="209"/>
      <c r="GJ45" s="209"/>
      <c r="GK45" s="209"/>
      <c r="GL45" s="209"/>
      <c r="GM45" s="209"/>
      <c r="GN45" s="204"/>
      <c r="GO45" s="204"/>
      <c r="GP45" s="209"/>
      <c r="GQ45" s="209"/>
      <c r="GR45" s="209"/>
      <c r="GS45" s="209"/>
      <c r="GT45" s="209"/>
      <c r="GU45" s="209"/>
      <c r="GV45" s="209"/>
      <c r="GW45" s="209"/>
      <c r="GX45" s="209"/>
      <c r="GY45" s="209"/>
      <c r="GZ45" s="209"/>
      <c r="HA45" s="204"/>
      <c r="HB45" s="204"/>
      <c r="HC45" s="209"/>
      <c r="HD45" s="209"/>
      <c r="HE45" s="209"/>
      <c r="HF45" s="209"/>
      <c r="HG45" s="209"/>
      <c r="HH45" s="209"/>
      <c r="HI45" s="209"/>
      <c r="HJ45" s="209"/>
      <c r="HK45" s="209"/>
      <c r="HL45" s="209"/>
      <c r="HM45" s="209"/>
      <c r="HN45" s="204"/>
      <c r="HO45" s="204"/>
      <c r="HP45" s="209"/>
      <c r="HQ45" s="209"/>
      <c r="HR45" s="209"/>
      <c r="HS45" s="209"/>
      <c r="HT45" s="209"/>
      <c r="HU45" s="209"/>
      <c r="HV45" s="209"/>
      <c r="HW45" s="209"/>
      <c r="HX45" s="209"/>
      <c r="HY45" s="209"/>
      <c r="HZ45" s="209"/>
      <c r="IA45" s="204"/>
      <c r="IB45" s="204"/>
      <c r="IC45" s="209"/>
      <c r="ID45" s="209"/>
      <c r="IE45" s="209"/>
      <c r="IF45" s="209"/>
      <c r="IG45" s="209"/>
      <c r="IH45" s="209"/>
      <c r="II45" s="209"/>
      <c r="IJ45" s="209"/>
      <c r="IK45" s="209"/>
      <c r="IL45" s="209"/>
      <c r="IM45" s="209"/>
      <c r="IN45" s="204"/>
      <c r="IO45" s="204"/>
      <c r="IP45" s="209"/>
      <c r="IQ45" s="209"/>
      <c r="IR45" s="209"/>
      <c r="IS45" s="209"/>
      <c r="IT45" s="209"/>
      <c r="IU45" s="209"/>
      <c r="IV45" s="209"/>
    </row>
    <row r="46" spans="1:256" x14ac:dyDescent="0.2">
      <c r="A46" s="215"/>
      <c r="B46" s="216"/>
      <c r="C46" s="292"/>
      <c r="D46" s="292"/>
      <c r="E46" s="292"/>
      <c r="F46" s="292"/>
      <c r="G46" s="292"/>
      <c r="H46" s="292"/>
      <c r="I46" s="292"/>
      <c r="J46" s="292"/>
      <c r="K46" s="292"/>
      <c r="L46" s="292"/>
      <c r="M46" s="293"/>
      <c r="N46" s="208"/>
      <c r="O46" s="208"/>
      <c r="P46" s="219"/>
      <c r="Q46" s="219"/>
      <c r="R46" s="219"/>
      <c r="S46" s="219"/>
      <c r="T46" s="219"/>
      <c r="U46" s="219"/>
      <c r="V46" s="219"/>
      <c r="W46" s="219"/>
      <c r="X46" s="219"/>
      <c r="Y46" s="219"/>
      <c r="Z46" s="219"/>
      <c r="AA46" s="204"/>
      <c r="AB46" s="204"/>
      <c r="AC46" s="209"/>
      <c r="AD46" s="209"/>
      <c r="AE46" s="209"/>
      <c r="AF46" s="209"/>
      <c r="AG46" s="209"/>
      <c r="AH46" s="209"/>
      <c r="AI46" s="209"/>
      <c r="AJ46" s="209"/>
      <c r="AK46" s="209"/>
      <c r="AL46" s="209"/>
      <c r="AM46" s="209"/>
      <c r="AN46" s="204"/>
      <c r="AO46" s="204"/>
      <c r="AP46" s="209"/>
      <c r="AQ46" s="209"/>
      <c r="AR46" s="209"/>
      <c r="AS46" s="209"/>
      <c r="AT46" s="209"/>
      <c r="AU46" s="209"/>
      <c r="AV46" s="209"/>
      <c r="AW46" s="209"/>
      <c r="AX46" s="209"/>
      <c r="AY46" s="209"/>
      <c r="AZ46" s="209"/>
      <c r="BA46" s="204"/>
      <c r="BB46" s="204"/>
      <c r="BC46" s="209"/>
      <c r="BD46" s="209"/>
      <c r="BE46" s="209"/>
      <c r="BF46" s="209"/>
      <c r="BG46" s="209"/>
      <c r="BH46" s="209"/>
      <c r="BI46" s="209"/>
      <c r="BJ46" s="209"/>
      <c r="BK46" s="209"/>
      <c r="BL46" s="209"/>
      <c r="BM46" s="209"/>
      <c r="BN46" s="204"/>
      <c r="BO46" s="204"/>
      <c r="BP46" s="209"/>
      <c r="BQ46" s="209"/>
      <c r="BR46" s="209"/>
      <c r="BS46" s="209"/>
      <c r="BT46" s="209"/>
      <c r="BU46" s="209"/>
      <c r="BV46" s="209"/>
      <c r="BW46" s="209"/>
      <c r="BX46" s="209"/>
      <c r="BY46" s="209"/>
      <c r="BZ46" s="209"/>
      <c r="CA46" s="204"/>
      <c r="CB46" s="204"/>
      <c r="CC46" s="209"/>
      <c r="CD46" s="209"/>
      <c r="CE46" s="209"/>
      <c r="CF46" s="209"/>
      <c r="CG46" s="209"/>
      <c r="CH46" s="209"/>
      <c r="CI46" s="209"/>
      <c r="CJ46" s="209"/>
      <c r="CK46" s="209"/>
      <c r="CL46" s="209"/>
      <c r="CM46" s="209"/>
      <c r="CN46" s="204"/>
      <c r="CO46" s="204"/>
      <c r="CP46" s="209"/>
      <c r="CQ46" s="209"/>
      <c r="CR46" s="209"/>
      <c r="CS46" s="209"/>
      <c r="CT46" s="209"/>
      <c r="CU46" s="209"/>
      <c r="CV46" s="209"/>
      <c r="CW46" s="209"/>
      <c r="CX46" s="209"/>
      <c r="CY46" s="209"/>
      <c r="CZ46" s="209"/>
      <c r="DA46" s="204"/>
      <c r="DB46" s="204"/>
      <c r="DC46" s="209"/>
      <c r="DD46" s="209"/>
      <c r="DE46" s="209"/>
      <c r="DF46" s="209"/>
      <c r="DG46" s="209"/>
      <c r="DH46" s="209"/>
      <c r="DI46" s="209"/>
      <c r="DJ46" s="209"/>
      <c r="DK46" s="209"/>
      <c r="DL46" s="209"/>
      <c r="DM46" s="209"/>
      <c r="DN46" s="204"/>
      <c r="DO46" s="204"/>
      <c r="DP46" s="209"/>
      <c r="DQ46" s="209"/>
      <c r="DR46" s="209"/>
      <c r="DS46" s="209"/>
      <c r="DT46" s="209"/>
      <c r="DU46" s="209"/>
      <c r="DV46" s="209"/>
      <c r="DW46" s="209"/>
      <c r="DX46" s="209"/>
      <c r="DY46" s="209"/>
      <c r="DZ46" s="209"/>
      <c r="EA46" s="204"/>
      <c r="EB46" s="204"/>
      <c r="EC46" s="209"/>
      <c r="ED46" s="209"/>
      <c r="EE46" s="209"/>
      <c r="EF46" s="209"/>
      <c r="EG46" s="209"/>
      <c r="EH46" s="209"/>
      <c r="EI46" s="209"/>
      <c r="EJ46" s="209"/>
      <c r="EK46" s="209"/>
      <c r="EL46" s="209"/>
      <c r="EM46" s="209"/>
      <c r="EN46" s="204"/>
      <c r="EO46" s="204"/>
      <c r="EP46" s="209"/>
      <c r="EQ46" s="209"/>
      <c r="ER46" s="209"/>
      <c r="ES46" s="209"/>
      <c r="ET46" s="209"/>
      <c r="EU46" s="209"/>
      <c r="EV46" s="209"/>
      <c r="EW46" s="209"/>
      <c r="EX46" s="209"/>
      <c r="EY46" s="209"/>
      <c r="EZ46" s="209"/>
      <c r="FA46" s="204"/>
      <c r="FB46" s="204"/>
      <c r="FC46" s="209"/>
      <c r="FD46" s="209"/>
      <c r="FE46" s="209"/>
      <c r="FF46" s="209"/>
      <c r="FG46" s="209"/>
      <c r="FH46" s="209"/>
      <c r="FI46" s="209"/>
      <c r="FJ46" s="209"/>
      <c r="FK46" s="209"/>
      <c r="FL46" s="209"/>
      <c r="FM46" s="209"/>
      <c r="FN46" s="204"/>
      <c r="FO46" s="204"/>
      <c r="FP46" s="209"/>
      <c r="FQ46" s="209"/>
      <c r="FR46" s="209"/>
      <c r="FS46" s="209"/>
      <c r="FT46" s="209"/>
      <c r="FU46" s="209"/>
      <c r="FV46" s="209"/>
      <c r="FW46" s="209"/>
      <c r="FX46" s="209"/>
      <c r="FY46" s="209"/>
      <c r="FZ46" s="209"/>
      <c r="GA46" s="204"/>
      <c r="GB46" s="204"/>
      <c r="GC46" s="209"/>
      <c r="GD46" s="209"/>
      <c r="GE46" s="209"/>
      <c r="GF46" s="209"/>
      <c r="GG46" s="209"/>
      <c r="GH46" s="209"/>
      <c r="GI46" s="209"/>
      <c r="GJ46" s="209"/>
      <c r="GK46" s="209"/>
      <c r="GL46" s="209"/>
      <c r="GM46" s="209"/>
      <c r="GN46" s="204"/>
      <c r="GO46" s="204"/>
      <c r="GP46" s="209"/>
      <c r="GQ46" s="209"/>
      <c r="GR46" s="209"/>
      <c r="GS46" s="209"/>
      <c r="GT46" s="209"/>
      <c r="GU46" s="209"/>
      <c r="GV46" s="209"/>
      <c r="GW46" s="209"/>
      <c r="GX46" s="209"/>
      <c r="GY46" s="209"/>
      <c r="GZ46" s="209"/>
      <c r="HA46" s="204"/>
      <c r="HB46" s="204"/>
      <c r="HC46" s="209"/>
      <c r="HD46" s="209"/>
      <c r="HE46" s="209"/>
      <c r="HF46" s="209"/>
      <c r="HG46" s="209"/>
      <c r="HH46" s="209"/>
      <c r="HI46" s="209"/>
      <c r="HJ46" s="209"/>
      <c r="HK46" s="209"/>
      <c r="HL46" s="209"/>
      <c r="HM46" s="209"/>
      <c r="HN46" s="204"/>
      <c r="HO46" s="204"/>
      <c r="HP46" s="209"/>
      <c r="HQ46" s="209"/>
      <c r="HR46" s="209"/>
      <c r="HS46" s="209"/>
      <c r="HT46" s="209"/>
      <c r="HU46" s="209"/>
      <c r="HV46" s="209"/>
      <c r="HW46" s="209"/>
      <c r="HX46" s="209"/>
      <c r="HY46" s="209"/>
      <c r="HZ46" s="209"/>
      <c r="IA46" s="204"/>
      <c r="IB46" s="204"/>
      <c r="IC46" s="209"/>
      <c r="ID46" s="209"/>
      <c r="IE46" s="209"/>
      <c r="IF46" s="209"/>
      <c r="IG46" s="209"/>
      <c r="IH46" s="209"/>
      <c r="II46" s="209"/>
      <c r="IJ46" s="209"/>
      <c r="IK46" s="209"/>
      <c r="IL46" s="209"/>
      <c r="IM46" s="209"/>
      <c r="IN46" s="204"/>
      <c r="IO46" s="204"/>
      <c r="IP46" s="209"/>
      <c r="IQ46" s="209"/>
      <c r="IR46" s="209"/>
      <c r="IS46" s="209"/>
      <c r="IT46" s="209"/>
      <c r="IU46" s="209"/>
      <c r="IV46" s="209"/>
    </row>
    <row r="47" spans="1:256" x14ac:dyDescent="0.2">
      <c r="A47" s="215"/>
      <c r="B47" s="216"/>
      <c r="C47" s="292"/>
      <c r="D47" s="292"/>
      <c r="E47" s="292"/>
      <c r="F47" s="292"/>
      <c r="G47" s="292"/>
      <c r="H47" s="292"/>
      <c r="I47" s="292"/>
      <c r="J47" s="292"/>
      <c r="K47" s="292"/>
      <c r="L47" s="292"/>
      <c r="M47" s="293"/>
      <c r="N47" s="208"/>
      <c r="O47" s="208"/>
      <c r="P47" s="219"/>
      <c r="Q47" s="219"/>
      <c r="R47" s="219"/>
      <c r="S47" s="219"/>
      <c r="T47" s="219"/>
      <c r="U47" s="219"/>
      <c r="V47" s="219"/>
      <c r="W47" s="219"/>
      <c r="X47" s="219"/>
      <c r="Y47" s="219"/>
      <c r="Z47" s="219"/>
      <c r="AA47" s="204"/>
      <c r="AB47" s="204"/>
      <c r="AC47" s="209"/>
      <c r="AD47" s="209"/>
      <c r="AE47" s="209"/>
      <c r="AF47" s="209"/>
      <c r="AG47" s="209"/>
      <c r="AH47" s="209"/>
      <c r="AI47" s="209"/>
      <c r="AJ47" s="209"/>
      <c r="AK47" s="209"/>
      <c r="AL47" s="209"/>
      <c r="AM47" s="209"/>
      <c r="AN47" s="204"/>
      <c r="AO47" s="204"/>
      <c r="AP47" s="209"/>
      <c r="AQ47" s="209"/>
      <c r="AR47" s="209"/>
      <c r="AS47" s="209"/>
      <c r="AT47" s="209"/>
      <c r="AU47" s="209"/>
      <c r="AV47" s="209"/>
      <c r="AW47" s="209"/>
      <c r="AX47" s="209"/>
      <c r="AY47" s="209"/>
      <c r="AZ47" s="209"/>
      <c r="BA47" s="204"/>
      <c r="BB47" s="204"/>
      <c r="BC47" s="209"/>
      <c r="BD47" s="209"/>
      <c r="BE47" s="209"/>
      <c r="BF47" s="209"/>
      <c r="BG47" s="209"/>
      <c r="BH47" s="209"/>
      <c r="BI47" s="209"/>
      <c r="BJ47" s="209"/>
      <c r="BK47" s="209"/>
      <c r="BL47" s="209"/>
      <c r="BM47" s="209"/>
      <c r="BN47" s="204"/>
      <c r="BO47" s="204"/>
      <c r="BP47" s="209"/>
      <c r="BQ47" s="209"/>
      <c r="BR47" s="209"/>
      <c r="BS47" s="209"/>
      <c r="BT47" s="209"/>
      <c r="BU47" s="209"/>
      <c r="BV47" s="209"/>
      <c r="BW47" s="209"/>
      <c r="BX47" s="209"/>
      <c r="BY47" s="209"/>
      <c r="BZ47" s="209"/>
      <c r="CA47" s="204"/>
      <c r="CB47" s="204"/>
      <c r="CC47" s="209"/>
      <c r="CD47" s="209"/>
      <c r="CE47" s="209"/>
      <c r="CF47" s="209"/>
      <c r="CG47" s="209"/>
      <c r="CH47" s="209"/>
      <c r="CI47" s="209"/>
      <c r="CJ47" s="209"/>
      <c r="CK47" s="209"/>
      <c r="CL47" s="209"/>
      <c r="CM47" s="209"/>
      <c r="CN47" s="204"/>
      <c r="CO47" s="204"/>
      <c r="CP47" s="209"/>
      <c r="CQ47" s="209"/>
      <c r="CR47" s="209"/>
      <c r="CS47" s="209"/>
      <c r="CT47" s="209"/>
      <c r="CU47" s="209"/>
      <c r="CV47" s="209"/>
      <c r="CW47" s="209"/>
      <c r="CX47" s="209"/>
      <c r="CY47" s="209"/>
      <c r="CZ47" s="209"/>
      <c r="DA47" s="204"/>
      <c r="DB47" s="204"/>
      <c r="DC47" s="209"/>
      <c r="DD47" s="209"/>
      <c r="DE47" s="209"/>
      <c r="DF47" s="209"/>
      <c r="DG47" s="209"/>
      <c r="DH47" s="209"/>
      <c r="DI47" s="209"/>
      <c r="DJ47" s="209"/>
      <c r="DK47" s="209"/>
      <c r="DL47" s="209"/>
      <c r="DM47" s="209"/>
      <c r="DN47" s="204"/>
      <c r="DO47" s="204"/>
      <c r="DP47" s="209"/>
      <c r="DQ47" s="209"/>
      <c r="DR47" s="209"/>
      <c r="DS47" s="209"/>
      <c r="DT47" s="209"/>
      <c r="DU47" s="209"/>
      <c r="DV47" s="209"/>
      <c r="DW47" s="209"/>
      <c r="DX47" s="209"/>
      <c r="DY47" s="209"/>
      <c r="DZ47" s="209"/>
      <c r="EA47" s="204"/>
      <c r="EB47" s="204"/>
      <c r="EC47" s="209"/>
      <c r="ED47" s="209"/>
      <c r="EE47" s="209"/>
      <c r="EF47" s="209"/>
      <c r="EG47" s="209"/>
      <c r="EH47" s="209"/>
      <c r="EI47" s="209"/>
      <c r="EJ47" s="209"/>
      <c r="EK47" s="209"/>
      <c r="EL47" s="209"/>
      <c r="EM47" s="209"/>
      <c r="EN47" s="204"/>
      <c r="EO47" s="204"/>
      <c r="EP47" s="209"/>
      <c r="EQ47" s="209"/>
      <c r="ER47" s="209"/>
      <c r="ES47" s="209"/>
      <c r="ET47" s="209"/>
      <c r="EU47" s="209"/>
      <c r="EV47" s="209"/>
      <c r="EW47" s="209"/>
      <c r="EX47" s="209"/>
      <c r="EY47" s="209"/>
      <c r="EZ47" s="209"/>
      <c r="FA47" s="204"/>
      <c r="FB47" s="204"/>
      <c r="FC47" s="209"/>
      <c r="FD47" s="209"/>
      <c r="FE47" s="209"/>
      <c r="FF47" s="209"/>
      <c r="FG47" s="209"/>
      <c r="FH47" s="209"/>
      <c r="FI47" s="209"/>
      <c r="FJ47" s="209"/>
      <c r="FK47" s="209"/>
      <c r="FL47" s="209"/>
      <c r="FM47" s="209"/>
      <c r="FN47" s="204"/>
      <c r="FO47" s="204"/>
      <c r="FP47" s="209"/>
      <c r="FQ47" s="209"/>
      <c r="FR47" s="209"/>
      <c r="FS47" s="209"/>
      <c r="FT47" s="209"/>
      <c r="FU47" s="209"/>
      <c r="FV47" s="209"/>
      <c r="FW47" s="209"/>
      <c r="FX47" s="209"/>
      <c r="FY47" s="209"/>
      <c r="FZ47" s="209"/>
      <c r="GA47" s="204"/>
      <c r="GB47" s="204"/>
      <c r="GC47" s="209"/>
      <c r="GD47" s="209"/>
      <c r="GE47" s="209"/>
      <c r="GF47" s="209"/>
      <c r="GG47" s="209"/>
      <c r="GH47" s="209"/>
      <c r="GI47" s="209"/>
      <c r="GJ47" s="209"/>
      <c r="GK47" s="209"/>
      <c r="GL47" s="209"/>
      <c r="GM47" s="209"/>
      <c r="GN47" s="204"/>
      <c r="GO47" s="204"/>
      <c r="GP47" s="209"/>
      <c r="GQ47" s="209"/>
      <c r="GR47" s="209"/>
      <c r="GS47" s="209"/>
      <c r="GT47" s="209"/>
      <c r="GU47" s="209"/>
      <c r="GV47" s="209"/>
      <c r="GW47" s="209"/>
      <c r="GX47" s="209"/>
      <c r="GY47" s="209"/>
      <c r="GZ47" s="209"/>
      <c r="HA47" s="204"/>
      <c r="HB47" s="204"/>
      <c r="HC47" s="209"/>
      <c r="HD47" s="209"/>
      <c r="HE47" s="209"/>
      <c r="HF47" s="209"/>
      <c r="HG47" s="209"/>
      <c r="HH47" s="209"/>
      <c r="HI47" s="209"/>
      <c r="HJ47" s="209"/>
      <c r="HK47" s="209"/>
      <c r="HL47" s="209"/>
      <c r="HM47" s="209"/>
      <c r="HN47" s="204"/>
      <c r="HO47" s="204"/>
      <c r="HP47" s="209"/>
      <c r="HQ47" s="209"/>
      <c r="HR47" s="209"/>
      <c r="HS47" s="209"/>
      <c r="HT47" s="209"/>
      <c r="HU47" s="209"/>
      <c r="HV47" s="209"/>
      <c r="HW47" s="209"/>
      <c r="HX47" s="209"/>
      <c r="HY47" s="209"/>
      <c r="HZ47" s="209"/>
      <c r="IA47" s="204"/>
      <c r="IB47" s="204"/>
      <c r="IC47" s="209"/>
      <c r="ID47" s="209"/>
      <c r="IE47" s="209"/>
      <c r="IF47" s="209"/>
      <c r="IG47" s="209"/>
      <c r="IH47" s="209"/>
      <c r="II47" s="209"/>
      <c r="IJ47" s="209"/>
      <c r="IK47" s="209"/>
      <c r="IL47" s="209"/>
      <c r="IM47" s="209"/>
      <c r="IN47" s="204"/>
      <c r="IO47" s="204"/>
      <c r="IP47" s="209"/>
      <c r="IQ47" s="209"/>
      <c r="IR47" s="209"/>
      <c r="IS47" s="209"/>
      <c r="IT47" s="209"/>
      <c r="IU47" s="209"/>
      <c r="IV47" s="209"/>
    </row>
    <row r="48" spans="1:256" x14ac:dyDescent="0.2">
      <c r="A48" s="215"/>
      <c r="B48" s="216"/>
      <c r="C48" s="292"/>
      <c r="D48" s="292"/>
      <c r="E48" s="292"/>
      <c r="F48" s="292"/>
      <c r="G48" s="292"/>
      <c r="H48" s="292"/>
      <c r="I48" s="292"/>
      <c r="J48" s="292"/>
      <c r="K48" s="292"/>
      <c r="L48" s="292"/>
      <c r="M48" s="293"/>
      <c r="N48" s="208"/>
      <c r="O48" s="208"/>
      <c r="P48" s="219"/>
      <c r="Q48" s="219"/>
      <c r="R48" s="219"/>
      <c r="S48" s="219"/>
      <c r="T48" s="219"/>
      <c r="U48" s="219"/>
      <c r="V48" s="219"/>
      <c r="W48" s="219"/>
      <c r="X48" s="219"/>
      <c r="Y48" s="219"/>
      <c r="Z48" s="219"/>
      <c r="AA48" s="204"/>
      <c r="AB48" s="204"/>
      <c r="AC48" s="209"/>
      <c r="AD48" s="209"/>
      <c r="AE48" s="209"/>
      <c r="AF48" s="209"/>
      <c r="AG48" s="209"/>
      <c r="AH48" s="209"/>
      <c r="AI48" s="209"/>
      <c r="AJ48" s="209"/>
      <c r="AK48" s="209"/>
      <c r="AL48" s="209"/>
      <c r="AM48" s="209"/>
      <c r="AN48" s="204"/>
      <c r="AO48" s="204"/>
      <c r="AP48" s="209"/>
      <c r="AQ48" s="209"/>
      <c r="AR48" s="209"/>
      <c r="AS48" s="209"/>
      <c r="AT48" s="209"/>
      <c r="AU48" s="209"/>
      <c r="AV48" s="209"/>
      <c r="AW48" s="209"/>
      <c r="AX48" s="209"/>
      <c r="AY48" s="209"/>
      <c r="AZ48" s="209"/>
      <c r="BA48" s="204"/>
      <c r="BB48" s="204"/>
      <c r="BC48" s="209"/>
      <c r="BD48" s="209"/>
      <c r="BE48" s="209"/>
      <c r="BF48" s="209"/>
      <c r="BG48" s="209"/>
      <c r="BH48" s="209"/>
      <c r="BI48" s="209"/>
      <c r="BJ48" s="209"/>
      <c r="BK48" s="209"/>
      <c r="BL48" s="209"/>
      <c r="BM48" s="209"/>
      <c r="BN48" s="204"/>
      <c r="BO48" s="204"/>
      <c r="BP48" s="209"/>
      <c r="BQ48" s="209"/>
      <c r="BR48" s="209"/>
      <c r="BS48" s="209"/>
      <c r="BT48" s="209"/>
      <c r="BU48" s="209"/>
      <c r="BV48" s="209"/>
      <c r="BW48" s="209"/>
      <c r="BX48" s="209"/>
      <c r="BY48" s="209"/>
      <c r="BZ48" s="209"/>
      <c r="CA48" s="204"/>
      <c r="CB48" s="204"/>
      <c r="CC48" s="209"/>
      <c r="CD48" s="209"/>
      <c r="CE48" s="209"/>
      <c r="CF48" s="209"/>
      <c r="CG48" s="209"/>
      <c r="CH48" s="209"/>
      <c r="CI48" s="209"/>
      <c r="CJ48" s="209"/>
      <c r="CK48" s="209"/>
      <c r="CL48" s="209"/>
      <c r="CM48" s="209"/>
      <c r="CN48" s="204"/>
      <c r="CO48" s="204"/>
      <c r="CP48" s="209"/>
      <c r="CQ48" s="209"/>
      <c r="CR48" s="209"/>
      <c r="CS48" s="209"/>
      <c r="CT48" s="209"/>
      <c r="CU48" s="209"/>
      <c r="CV48" s="209"/>
      <c r="CW48" s="209"/>
      <c r="CX48" s="209"/>
      <c r="CY48" s="209"/>
      <c r="CZ48" s="209"/>
      <c r="DA48" s="204"/>
      <c r="DB48" s="204"/>
      <c r="DC48" s="209"/>
      <c r="DD48" s="209"/>
      <c r="DE48" s="209"/>
      <c r="DF48" s="209"/>
      <c r="DG48" s="209"/>
      <c r="DH48" s="209"/>
      <c r="DI48" s="209"/>
      <c r="DJ48" s="209"/>
      <c r="DK48" s="209"/>
      <c r="DL48" s="209"/>
      <c r="DM48" s="209"/>
      <c r="DN48" s="204"/>
      <c r="DO48" s="204"/>
      <c r="DP48" s="209"/>
      <c r="DQ48" s="209"/>
      <c r="DR48" s="209"/>
      <c r="DS48" s="209"/>
      <c r="DT48" s="209"/>
      <c r="DU48" s="209"/>
      <c r="DV48" s="209"/>
      <c r="DW48" s="209"/>
      <c r="DX48" s="209"/>
      <c r="DY48" s="209"/>
      <c r="DZ48" s="209"/>
      <c r="EA48" s="204"/>
      <c r="EB48" s="204"/>
      <c r="EC48" s="209"/>
      <c r="ED48" s="209"/>
      <c r="EE48" s="209"/>
      <c r="EF48" s="209"/>
      <c r="EG48" s="209"/>
      <c r="EH48" s="209"/>
      <c r="EI48" s="209"/>
      <c r="EJ48" s="209"/>
      <c r="EK48" s="209"/>
      <c r="EL48" s="209"/>
      <c r="EM48" s="209"/>
      <c r="EN48" s="204"/>
      <c r="EO48" s="204"/>
      <c r="EP48" s="209"/>
      <c r="EQ48" s="209"/>
      <c r="ER48" s="209"/>
      <c r="ES48" s="209"/>
      <c r="ET48" s="209"/>
      <c r="EU48" s="209"/>
      <c r="EV48" s="209"/>
      <c r="EW48" s="209"/>
      <c r="EX48" s="209"/>
      <c r="EY48" s="209"/>
      <c r="EZ48" s="209"/>
      <c r="FA48" s="204"/>
      <c r="FB48" s="204"/>
      <c r="FC48" s="209"/>
      <c r="FD48" s="209"/>
      <c r="FE48" s="209"/>
      <c r="FF48" s="209"/>
      <c r="FG48" s="209"/>
      <c r="FH48" s="209"/>
      <c r="FI48" s="209"/>
      <c r="FJ48" s="209"/>
      <c r="FK48" s="209"/>
      <c r="FL48" s="209"/>
      <c r="FM48" s="209"/>
      <c r="FN48" s="204"/>
      <c r="FO48" s="204"/>
      <c r="FP48" s="209"/>
      <c r="FQ48" s="209"/>
      <c r="FR48" s="209"/>
      <c r="FS48" s="209"/>
      <c r="FT48" s="209"/>
      <c r="FU48" s="209"/>
      <c r="FV48" s="209"/>
      <c r="FW48" s="209"/>
      <c r="FX48" s="209"/>
      <c r="FY48" s="209"/>
      <c r="FZ48" s="209"/>
      <c r="GA48" s="204"/>
      <c r="GB48" s="204"/>
      <c r="GC48" s="209"/>
      <c r="GD48" s="209"/>
      <c r="GE48" s="209"/>
      <c r="GF48" s="209"/>
      <c r="GG48" s="209"/>
      <c r="GH48" s="209"/>
      <c r="GI48" s="209"/>
      <c r="GJ48" s="209"/>
      <c r="GK48" s="209"/>
      <c r="GL48" s="209"/>
      <c r="GM48" s="209"/>
      <c r="GN48" s="204"/>
      <c r="GO48" s="204"/>
      <c r="GP48" s="209"/>
      <c r="GQ48" s="209"/>
      <c r="GR48" s="209"/>
      <c r="GS48" s="209"/>
      <c r="GT48" s="209"/>
      <c r="GU48" s="209"/>
      <c r="GV48" s="209"/>
      <c r="GW48" s="209"/>
      <c r="GX48" s="209"/>
      <c r="GY48" s="209"/>
      <c r="GZ48" s="209"/>
      <c r="HA48" s="204"/>
      <c r="HB48" s="204"/>
      <c r="HC48" s="209"/>
      <c r="HD48" s="209"/>
      <c r="HE48" s="209"/>
      <c r="HF48" s="209"/>
      <c r="HG48" s="209"/>
      <c r="HH48" s="209"/>
      <c r="HI48" s="209"/>
      <c r="HJ48" s="209"/>
      <c r="HK48" s="209"/>
      <c r="HL48" s="209"/>
      <c r="HM48" s="209"/>
      <c r="HN48" s="204"/>
      <c r="HO48" s="204"/>
      <c r="HP48" s="209"/>
      <c r="HQ48" s="209"/>
      <c r="HR48" s="209"/>
      <c r="HS48" s="209"/>
      <c r="HT48" s="209"/>
      <c r="HU48" s="209"/>
      <c r="HV48" s="209"/>
      <c r="HW48" s="209"/>
      <c r="HX48" s="209"/>
      <c r="HY48" s="209"/>
      <c r="HZ48" s="209"/>
      <c r="IA48" s="204"/>
      <c r="IB48" s="204"/>
      <c r="IC48" s="209"/>
      <c r="ID48" s="209"/>
      <c r="IE48" s="209"/>
      <c r="IF48" s="209"/>
      <c r="IG48" s="209"/>
      <c r="IH48" s="209"/>
      <c r="II48" s="209"/>
      <c r="IJ48" s="209"/>
      <c r="IK48" s="209"/>
      <c r="IL48" s="209"/>
      <c r="IM48" s="209"/>
      <c r="IN48" s="204"/>
      <c r="IO48" s="204"/>
      <c r="IP48" s="209"/>
      <c r="IQ48" s="209"/>
      <c r="IR48" s="209"/>
      <c r="IS48" s="209"/>
      <c r="IT48" s="209"/>
      <c r="IU48" s="209"/>
      <c r="IV48" s="209"/>
    </row>
    <row r="49" spans="1:256" x14ac:dyDescent="0.2">
      <c r="A49" s="215"/>
      <c r="B49" s="216"/>
      <c r="C49" s="292"/>
      <c r="D49" s="292"/>
      <c r="E49" s="292"/>
      <c r="F49" s="292"/>
      <c r="G49" s="292"/>
      <c r="H49" s="292"/>
      <c r="I49" s="292"/>
      <c r="J49" s="292"/>
      <c r="K49" s="292"/>
      <c r="L49" s="292"/>
      <c r="M49" s="293"/>
      <c r="N49" s="208"/>
      <c r="O49" s="208"/>
      <c r="P49" s="219"/>
      <c r="Q49" s="219"/>
      <c r="R49" s="219"/>
      <c r="S49" s="219"/>
      <c r="T49" s="219"/>
      <c r="U49" s="219"/>
      <c r="V49" s="219"/>
      <c r="W49" s="219"/>
      <c r="X49" s="219"/>
      <c r="Y49" s="219"/>
      <c r="Z49" s="219"/>
      <c r="AA49" s="204"/>
      <c r="AB49" s="204"/>
      <c r="AC49" s="209"/>
      <c r="AD49" s="209"/>
      <c r="AE49" s="209"/>
      <c r="AF49" s="209"/>
      <c r="AG49" s="209"/>
      <c r="AH49" s="209"/>
      <c r="AI49" s="209"/>
      <c r="AJ49" s="209"/>
      <c r="AK49" s="209"/>
      <c r="AL49" s="209"/>
      <c r="AM49" s="209"/>
      <c r="AN49" s="204"/>
      <c r="AO49" s="204"/>
      <c r="AP49" s="209"/>
      <c r="AQ49" s="209"/>
      <c r="AR49" s="209"/>
      <c r="AS49" s="209"/>
      <c r="AT49" s="209"/>
      <c r="AU49" s="209"/>
      <c r="AV49" s="209"/>
      <c r="AW49" s="209"/>
      <c r="AX49" s="209"/>
      <c r="AY49" s="209"/>
      <c r="AZ49" s="209"/>
      <c r="BA49" s="204"/>
      <c r="BB49" s="204"/>
      <c r="BC49" s="209"/>
      <c r="BD49" s="209"/>
      <c r="BE49" s="209"/>
      <c r="BF49" s="209"/>
      <c r="BG49" s="209"/>
      <c r="BH49" s="209"/>
      <c r="BI49" s="209"/>
      <c r="BJ49" s="209"/>
      <c r="BK49" s="209"/>
      <c r="BL49" s="209"/>
      <c r="BM49" s="209"/>
      <c r="BN49" s="204"/>
      <c r="BO49" s="204"/>
      <c r="BP49" s="209"/>
      <c r="BQ49" s="209"/>
      <c r="BR49" s="209"/>
      <c r="BS49" s="209"/>
      <c r="BT49" s="209"/>
      <c r="BU49" s="209"/>
      <c r="BV49" s="209"/>
      <c r="BW49" s="209"/>
      <c r="BX49" s="209"/>
      <c r="BY49" s="209"/>
      <c r="BZ49" s="209"/>
      <c r="CA49" s="204"/>
      <c r="CB49" s="204"/>
      <c r="CC49" s="209"/>
      <c r="CD49" s="209"/>
      <c r="CE49" s="209"/>
      <c r="CF49" s="209"/>
      <c r="CG49" s="209"/>
      <c r="CH49" s="209"/>
      <c r="CI49" s="209"/>
      <c r="CJ49" s="209"/>
      <c r="CK49" s="209"/>
      <c r="CL49" s="209"/>
      <c r="CM49" s="209"/>
      <c r="CN49" s="204"/>
      <c r="CO49" s="204"/>
      <c r="CP49" s="209"/>
      <c r="CQ49" s="209"/>
      <c r="CR49" s="209"/>
      <c r="CS49" s="209"/>
      <c r="CT49" s="209"/>
      <c r="CU49" s="209"/>
      <c r="CV49" s="209"/>
      <c r="CW49" s="209"/>
      <c r="CX49" s="209"/>
      <c r="CY49" s="209"/>
      <c r="CZ49" s="209"/>
      <c r="DA49" s="204"/>
      <c r="DB49" s="204"/>
      <c r="DC49" s="209"/>
      <c r="DD49" s="209"/>
      <c r="DE49" s="209"/>
      <c r="DF49" s="209"/>
      <c r="DG49" s="209"/>
      <c r="DH49" s="209"/>
      <c r="DI49" s="209"/>
      <c r="DJ49" s="209"/>
      <c r="DK49" s="209"/>
      <c r="DL49" s="209"/>
      <c r="DM49" s="209"/>
      <c r="DN49" s="204"/>
      <c r="DO49" s="204"/>
      <c r="DP49" s="209"/>
      <c r="DQ49" s="209"/>
      <c r="DR49" s="209"/>
      <c r="DS49" s="209"/>
      <c r="DT49" s="209"/>
      <c r="DU49" s="209"/>
      <c r="DV49" s="209"/>
      <c r="DW49" s="209"/>
      <c r="DX49" s="209"/>
      <c r="DY49" s="209"/>
      <c r="DZ49" s="209"/>
      <c r="EA49" s="204"/>
      <c r="EB49" s="204"/>
      <c r="EC49" s="209"/>
      <c r="ED49" s="209"/>
      <c r="EE49" s="209"/>
      <c r="EF49" s="209"/>
      <c r="EG49" s="209"/>
      <c r="EH49" s="209"/>
      <c r="EI49" s="209"/>
      <c r="EJ49" s="209"/>
      <c r="EK49" s="209"/>
      <c r="EL49" s="209"/>
      <c r="EM49" s="209"/>
      <c r="EN49" s="204"/>
      <c r="EO49" s="204"/>
      <c r="EP49" s="209"/>
      <c r="EQ49" s="209"/>
      <c r="ER49" s="209"/>
      <c r="ES49" s="209"/>
      <c r="ET49" s="209"/>
      <c r="EU49" s="209"/>
      <c r="EV49" s="209"/>
      <c r="EW49" s="209"/>
      <c r="EX49" s="209"/>
      <c r="EY49" s="209"/>
      <c r="EZ49" s="209"/>
      <c r="FA49" s="204"/>
      <c r="FB49" s="204"/>
      <c r="FC49" s="209"/>
      <c r="FD49" s="209"/>
      <c r="FE49" s="209"/>
      <c r="FF49" s="209"/>
      <c r="FG49" s="209"/>
      <c r="FH49" s="209"/>
      <c r="FI49" s="209"/>
      <c r="FJ49" s="209"/>
      <c r="FK49" s="209"/>
      <c r="FL49" s="209"/>
      <c r="FM49" s="209"/>
      <c r="FN49" s="204"/>
      <c r="FO49" s="204"/>
      <c r="FP49" s="209"/>
      <c r="FQ49" s="209"/>
      <c r="FR49" s="209"/>
      <c r="FS49" s="209"/>
      <c r="FT49" s="209"/>
      <c r="FU49" s="209"/>
      <c r="FV49" s="209"/>
      <c r="FW49" s="209"/>
      <c r="FX49" s="209"/>
      <c r="FY49" s="209"/>
      <c r="FZ49" s="209"/>
      <c r="GA49" s="204"/>
      <c r="GB49" s="204"/>
      <c r="GC49" s="209"/>
      <c r="GD49" s="209"/>
      <c r="GE49" s="209"/>
      <c r="GF49" s="209"/>
      <c r="GG49" s="209"/>
      <c r="GH49" s="209"/>
      <c r="GI49" s="209"/>
      <c r="GJ49" s="209"/>
      <c r="GK49" s="209"/>
      <c r="GL49" s="209"/>
      <c r="GM49" s="209"/>
      <c r="GN49" s="204"/>
      <c r="GO49" s="204"/>
      <c r="GP49" s="209"/>
      <c r="GQ49" s="209"/>
      <c r="GR49" s="209"/>
      <c r="GS49" s="209"/>
      <c r="GT49" s="209"/>
      <c r="GU49" s="209"/>
      <c r="GV49" s="209"/>
      <c r="GW49" s="209"/>
      <c r="GX49" s="209"/>
      <c r="GY49" s="209"/>
      <c r="GZ49" s="209"/>
      <c r="HA49" s="204"/>
      <c r="HB49" s="204"/>
      <c r="HC49" s="209"/>
      <c r="HD49" s="209"/>
      <c r="HE49" s="209"/>
      <c r="HF49" s="209"/>
      <c r="HG49" s="209"/>
      <c r="HH49" s="209"/>
      <c r="HI49" s="209"/>
      <c r="HJ49" s="209"/>
      <c r="HK49" s="209"/>
      <c r="HL49" s="209"/>
      <c r="HM49" s="209"/>
      <c r="HN49" s="204"/>
      <c r="HO49" s="204"/>
      <c r="HP49" s="209"/>
      <c r="HQ49" s="209"/>
      <c r="HR49" s="209"/>
      <c r="HS49" s="209"/>
      <c r="HT49" s="209"/>
      <c r="HU49" s="209"/>
      <c r="HV49" s="209"/>
      <c r="HW49" s="209"/>
      <c r="HX49" s="209"/>
      <c r="HY49" s="209"/>
      <c r="HZ49" s="209"/>
      <c r="IA49" s="204"/>
      <c r="IB49" s="204"/>
      <c r="IC49" s="209"/>
      <c r="ID49" s="209"/>
      <c r="IE49" s="209"/>
      <c r="IF49" s="209"/>
      <c r="IG49" s="209"/>
      <c r="IH49" s="209"/>
      <c r="II49" s="209"/>
      <c r="IJ49" s="209"/>
      <c r="IK49" s="209"/>
      <c r="IL49" s="209"/>
      <c r="IM49" s="209"/>
      <c r="IN49" s="204"/>
      <c r="IO49" s="204"/>
      <c r="IP49" s="209"/>
      <c r="IQ49" s="209"/>
      <c r="IR49" s="209"/>
      <c r="IS49" s="209"/>
      <c r="IT49" s="209"/>
      <c r="IU49" s="209"/>
      <c r="IV49" s="209"/>
    </row>
    <row r="50" spans="1:256" x14ac:dyDescent="0.2">
      <c r="A50" s="215"/>
      <c r="B50" s="216"/>
      <c r="C50" s="292"/>
      <c r="D50" s="292"/>
      <c r="E50" s="292"/>
      <c r="F50" s="292"/>
      <c r="G50" s="292"/>
      <c r="H50" s="292"/>
      <c r="I50" s="292"/>
      <c r="J50" s="292"/>
      <c r="K50" s="292"/>
      <c r="L50" s="292"/>
      <c r="M50" s="293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5"/>
      <c r="B51" s="216"/>
      <c r="C51" s="292"/>
      <c r="D51" s="292"/>
      <c r="E51" s="292"/>
      <c r="F51" s="292"/>
      <c r="G51" s="292"/>
      <c r="H51" s="292"/>
      <c r="I51" s="292"/>
      <c r="J51" s="292"/>
      <c r="K51" s="292"/>
      <c r="L51" s="292"/>
      <c r="M51" s="293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5"/>
      <c r="B52" s="216"/>
      <c r="C52" s="292"/>
      <c r="D52" s="292"/>
      <c r="E52" s="292"/>
      <c r="F52" s="292"/>
      <c r="G52" s="292"/>
      <c r="H52" s="292"/>
      <c r="I52" s="292"/>
      <c r="J52" s="292"/>
      <c r="K52" s="292"/>
      <c r="L52" s="292"/>
      <c r="M52" s="293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5"/>
      <c r="B53" s="216"/>
      <c r="C53" s="292"/>
      <c r="D53" s="292"/>
      <c r="E53" s="292"/>
      <c r="F53" s="292"/>
      <c r="G53" s="292"/>
      <c r="H53" s="292"/>
      <c r="I53" s="292"/>
      <c r="J53" s="292"/>
      <c r="K53" s="292"/>
      <c r="L53" s="292"/>
      <c r="M53" s="293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5"/>
      <c r="B54" s="216"/>
      <c r="C54" s="292"/>
      <c r="D54" s="292"/>
      <c r="E54" s="292"/>
      <c r="F54" s="292"/>
      <c r="G54" s="292"/>
      <c r="H54" s="292"/>
      <c r="I54" s="292"/>
      <c r="J54" s="292"/>
      <c r="K54" s="292"/>
      <c r="L54" s="292"/>
      <c r="M54" s="293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5"/>
      <c r="B55" s="216"/>
      <c r="C55" s="292"/>
      <c r="D55" s="292"/>
      <c r="E55" s="292"/>
      <c r="F55" s="292"/>
      <c r="G55" s="292"/>
      <c r="H55" s="292"/>
      <c r="I55" s="292"/>
      <c r="J55" s="292"/>
      <c r="K55" s="292"/>
      <c r="L55" s="292"/>
      <c r="M55" s="293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5"/>
      <c r="B56" s="216"/>
      <c r="C56" s="292"/>
      <c r="D56" s="292"/>
      <c r="E56" s="292"/>
      <c r="F56" s="292"/>
      <c r="G56" s="292"/>
      <c r="H56" s="292"/>
      <c r="I56" s="292"/>
      <c r="J56" s="292"/>
      <c r="K56" s="292"/>
      <c r="L56" s="292"/>
      <c r="M56" s="293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5"/>
      <c r="B57" s="216"/>
      <c r="C57" s="292"/>
      <c r="D57" s="292"/>
      <c r="E57" s="292"/>
      <c r="F57" s="292"/>
      <c r="G57" s="292"/>
      <c r="H57" s="292"/>
      <c r="I57" s="292"/>
      <c r="J57" s="292"/>
      <c r="K57" s="292"/>
      <c r="L57" s="292"/>
      <c r="M57" s="293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5"/>
      <c r="B58" s="216"/>
      <c r="C58" s="292"/>
      <c r="D58" s="292"/>
      <c r="E58" s="292"/>
      <c r="F58" s="292"/>
      <c r="G58" s="292"/>
      <c r="H58" s="292"/>
      <c r="I58" s="292"/>
      <c r="J58" s="292"/>
      <c r="K58" s="292"/>
      <c r="L58" s="292"/>
      <c r="M58" s="293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5"/>
      <c r="B59" s="216"/>
      <c r="C59" s="292"/>
      <c r="D59" s="292"/>
      <c r="E59" s="292"/>
      <c r="F59" s="292"/>
      <c r="G59" s="292"/>
      <c r="H59" s="292"/>
      <c r="I59" s="292"/>
      <c r="J59" s="292"/>
      <c r="K59" s="292"/>
      <c r="L59" s="292"/>
      <c r="M59" s="293"/>
    </row>
    <row r="60" spans="1:256" x14ac:dyDescent="0.2">
      <c r="A60" s="215"/>
      <c r="B60" s="216"/>
      <c r="C60" s="292"/>
      <c r="D60" s="292"/>
      <c r="E60" s="292"/>
      <c r="F60" s="292"/>
      <c r="G60" s="292"/>
      <c r="H60" s="292"/>
      <c r="I60" s="292"/>
      <c r="J60" s="292"/>
      <c r="K60" s="292"/>
      <c r="L60" s="292"/>
      <c r="M60" s="293"/>
    </row>
    <row r="61" spans="1:256" x14ac:dyDescent="0.2">
      <c r="A61" s="215"/>
      <c r="B61" s="216"/>
      <c r="C61" s="292"/>
      <c r="D61" s="292"/>
      <c r="E61" s="292"/>
      <c r="F61" s="292"/>
      <c r="G61" s="292"/>
      <c r="H61" s="292"/>
      <c r="I61" s="292"/>
      <c r="J61" s="292"/>
      <c r="K61" s="292"/>
      <c r="L61" s="292"/>
      <c r="M61" s="293"/>
    </row>
    <row r="62" spans="1:256" x14ac:dyDescent="0.2">
      <c r="A62" s="215"/>
      <c r="B62" s="216"/>
      <c r="C62" s="292"/>
      <c r="D62" s="292"/>
      <c r="E62" s="292"/>
      <c r="F62" s="292"/>
      <c r="G62" s="292"/>
      <c r="H62" s="292"/>
      <c r="I62" s="292"/>
      <c r="J62" s="292"/>
      <c r="K62" s="292"/>
      <c r="L62" s="292"/>
      <c r="M62" s="293"/>
    </row>
    <row r="63" spans="1:256" x14ac:dyDescent="0.2">
      <c r="A63" s="215"/>
      <c r="B63" s="216"/>
      <c r="C63" s="292"/>
      <c r="D63" s="292"/>
      <c r="E63" s="292"/>
      <c r="F63" s="292"/>
      <c r="G63" s="292"/>
      <c r="H63" s="292"/>
      <c r="I63" s="292"/>
      <c r="J63" s="292"/>
      <c r="K63" s="292"/>
      <c r="L63" s="292"/>
      <c r="M63" s="293"/>
    </row>
    <row r="64" spans="1:256" x14ac:dyDescent="0.2">
      <c r="A64" s="215"/>
      <c r="B64" s="216"/>
      <c r="C64" s="292"/>
      <c r="D64" s="292"/>
      <c r="E64" s="292"/>
      <c r="F64" s="292"/>
      <c r="G64" s="292"/>
      <c r="H64" s="292"/>
      <c r="I64" s="292"/>
      <c r="J64" s="292"/>
      <c r="K64" s="292"/>
      <c r="L64" s="292"/>
      <c r="M64" s="293"/>
    </row>
    <row r="65" spans="1:13" x14ac:dyDescent="0.2">
      <c r="A65" s="215"/>
      <c r="B65" s="216"/>
      <c r="C65" s="292"/>
      <c r="D65" s="292"/>
      <c r="E65" s="292"/>
      <c r="F65" s="292"/>
      <c r="G65" s="292"/>
      <c r="H65" s="292"/>
      <c r="I65" s="292"/>
      <c r="J65" s="292"/>
      <c r="K65" s="292"/>
      <c r="L65" s="292"/>
      <c r="M65" s="293"/>
    </row>
    <row r="66" spans="1:13" x14ac:dyDescent="0.2">
      <c r="A66" s="215"/>
      <c r="B66" s="216"/>
      <c r="C66" s="292"/>
      <c r="D66" s="292"/>
      <c r="E66" s="292"/>
      <c r="F66" s="292"/>
      <c r="G66" s="292"/>
      <c r="H66" s="292"/>
      <c r="I66" s="292"/>
      <c r="J66" s="292"/>
      <c r="K66" s="292"/>
      <c r="L66" s="292"/>
      <c r="M66" s="293"/>
    </row>
    <row r="67" spans="1:13" x14ac:dyDescent="0.2">
      <c r="A67" s="215"/>
      <c r="B67" s="216"/>
      <c r="C67" s="292"/>
      <c r="D67" s="292"/>
      <c r="E67" s="292"/>
      <c r="F67" s="292"/>
      <c r="G67" s="292"/>
      <c r="H67" s="292"/>
      <c r="I67" s="292"/>
      <c r="J67" s="292"/>
      <c r="K67" s="292"/>
      <c r="L67" s="292"/>
      <c r="M67" s="293"/>
    </row>
    <row r="68" spans="1:13" x14ac:dyDescent="0.2">
      <c r="A68" s="215"/>
      <c r="B68" s="216"/>
      <c r="C68" s="292"/>
      <c r="D68" s="292"/>
      <c r="E68" s="292"/>
      <c r="F68" s="292"/>
      <c r="G68" s="292"/>
      <c r="H68" s="292"/>
      <c r="I68" s="292"/>
      <c r="J68" s="292"/>
      <c r="K68" s="292"/>
      <c r="L68" s="292"/>
      <c r="M68" s="293"/>
    </row>
    <row r="69" spans="1:13" x14ac:dyDescent="0.2">
      <c r="A69" s="215"/>
      <c r="B69" s="216"/>
      <c r="C69" s="292"/>
      <c r="D69" s="292"/>
      <c r="E69" s="292"/>
      <c r="F69" s="292"/>
      <c r="G69" s="292"/>
      <c r="H69" s="292"/>
      <c r="I69" s="292"/>
      <c r="J69" s="292"/>
      <c r="K69" s="292"/>
      <c r="L69" s="292"/>
      <c r="M69" s="293"/>
    </row>
    <row r="70" spans="1:13" ht="12" thickBot="1" x14ac:dyDescent="0.25">
      <c r="A70" s="217"/>
      <c r="B70" s="218"/>
      <c r="C70" s="294"/>
      <c r="D70" s="294"/>
      <c r="E70" s="294"/>
      <c r="F70" s="294"/>
      <c r="G70" s="294"/>
      <c r="H70" s="294"/>
      <c r="I70" s="294"/>
      <c r="J70" s="294"/>
      <c r="K70" s="294"/>
      <c r="L70" s="294"/>
      <c r="M70" s="295"/>
    </row>
    <row r="71" spans="1:13" ht="12" thickTop="1" x14ac:dyDescent="0.2">
      <c r="A71" s="205"/>
      <c r="B71" s="205"/>
      <c r="C71" s="206"/>
      <c r="D71" s="206"/>
      <c r="E71" s="206"/>
      <c r="F71" s="206"/>
      <c r="G71" s="206"/>
      <c r="H71" s="206"/>
      <c r="I71" s="206"/>
      <c r="J71" s="206"/>
      <c r="K71" s="206"/>
      <c r="L71" s="206"/>
    </row>
    <row r="72" spans="1:13" ht="12.75" x14ac:dyDescent="0.2">
      <c r="A72" s="296" t="s">
        <v>848</v>
      </c>
      <c r="B72" s="296"/>
      <c r="C72" s="296"/>
      <c r="D72" s="296"/>
      <c r="E72" s="296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07" t="s">
        <v>768</v>
      </c>
      <c r="B73" s="207" t="s">
        <v>769</v>
      </c>
      <c r="C73" s="291"/>
      <c r="D73" s="291"/>
      <c r="E73" s="291"/>
      <c r="F73" s="291"/>
      <c r="G73" s="291"/>
      <c r="H73" s="291"/>
      <c r="I73" s="291"/>
      <c r="J73" s="291"/>
      <c r="K73" s="291"/>
      <c r="L73" s="291"/>
      <c r="M73" s="291"/>
    </row>
    <row r="74" spans="1:13" x14ac:dyDescent="0.2">
      <c r="A74" s="208"/>
      <c r="B74" s="208"/>
      <c r="C74" s="291"/>
      <c r="D74" s="291"/>
      <c r="E74" s="291"/>
      <c r="F74" s="291"/>
      <c r="G74" s="291"/>
      <c r="H74" s="291"/>
      <c r="I74" s="291"/>
      <c r="J74" s="291"/>
      <c r="K74" s="291"/>
      <c r="L74" s="291"/>
      <c r="M74" s="291"/>
    </row>
    <row r="75" spans="1:13" x14ac:dyDescent="0.2">
      <c r="A75" s="208"/>
      <c r="B75" s="208"/>
      <c r="C75" s="291"/>
      <c r="D75" s="291"/>
      <c r="E75" s="291"/>
      <c r="F75" s="291"/>
      <c r="G75" s="291"/>
      <c r="H75" s="291"/>
      <c r="I75" s="291"/>
      <c r="J75" s="291"/>
      <c r="K75" s="291"/>
      <c r="L75" s="291"/>
      <c r="M75" s="291"/>
    </row>
    <row r="76" spans="1:13" x14ac:dyDescent="0.2">
      <c r="A76" s="208"/>
      <c r="B76" s="208"/>
      <c r="C76" s="291"/>
      <c r="D76" s="291"/>
      <c r="E76" s="291"/>
      <c r="F76" s="291"/>
      <c r="G76" s="291"/>
      <c r="H76" s="291"/>
      <c r="I76" s="291"/>
      <c r="J76" s="291"/>
      <c r="K76" s="291"/>
      <c r="L76" s="291"/>
      <c r="M76" s="291"/>
    </row>
    <row r="77" spans="1:13" x14ac:dyDescent="0.2">
      <c r="A77" s="208"/>
      <c r="B77" s="208"/>
      <c r="C77" s="291"/>
      <c r="D77" s="291"/>
      <c r="E77" s="291"/>
      <c r="F77" s="291"/>
      <c r="G77" s="291"/>
      <c r="H77" s="291"/>
      <c r="I77" s="291"/>
      <c r="J77" s="291"/>
      <c r="K77" s="291"/>
      <c r="L77" s="291"/>
      <c r="M77" s="291"/>
    </row>
    <row r="78" spans="1:13" x14ac:dyDescent="0.2">
      <c r="A78" s="208"/>
      <c r="B78" s="208"/>
      <c r="C78" s="291"/>
      <c r="D78" s="291"/>
      <c r="E78" s="291"/>
      <c r="F78" s="291"/>
      <c r="G78" s="291"/>
      <c r="H78" s="291"/>
      <c r="I78" s="291"/>
      <c r="J78" s="291"/>
      <c r="K78" s="291"/>
      <c r="L78" s="291"/>
      <c r="M78" s="291"/>
    </row>
    <row r="79" spans="1:13" x14ac:dyDescent="0.2">
      <c r="A79" s="208"/>
      <c r="B79" s="208"/>
      <c r="C79" s="291"/>
      <c r="D79" s="291"/>
      <c r="E79" s="291"/>
      <c r="F79" s="291"/>
      <c r="G79" s="291"/>
      <c r="H79" s="291"/>
      <c r="I79" s="291"/>
      <c r="J79" s="291"/>
      <c r="K79" s="291"/>
      <c r="L79" s="291"/>
      <c r="M79" s="291"/>
    </row>
    <row r="80" spans="1:13" x14ac:dyDescent="0.2">
      <c r="A80" s="208"/>
      <c r="B80" s="208"/>
      <c r="C80" s="291"/>
      <c r="D80" s="291"/>
      <c r="E80" s="291"/>
      <c r="F80" s="291"/>
      <c r="G80" s="291"/>
      <c r="H80" s="291"/>
      <c r="I80" s="291"/>
      <c r="J80" s="291"/>
      <c r="K80" s="291"/>
      <c r="L80" s="291"/>
      <c r="M80" s="291"/>
    </row>
    <row r="81" spans="1:13" x14ac:dyDescent="0.2">
      <c r="A81" s="208"/>
      <c r="B81" s="208"/>
      <c r="C81" s="291"/>
      <c r="D81" s="291"/>
      <c r="E81" s="291"/>
      <c r="F81" s="291"/>
      <c r="G81" s="291"/>
      <c r="H81" s="291"/>
      <c r="I81" s="291"/>
      <c r="J81" s="291"/>
      <c r="K81" s="291"/>
      <c r="L81" s="291"/>
      <c r="M81" s="291"/>
    </row>
    <row r="82" spans="1:13" x14ac:dyDescent="0.2">
      <c r="A82" s="208"/>
      <c r="B82" s="208"/>
      <c r="C82" s="291"/>
      <c r="D82" s="291"/>
      <c r="E82" s="291"/>
      <c r="F82" s="291"/>
      <c r="G82" s="291"/>
      <c r="H82" s="291"/>
      <c r="I82" s="291"/>
      <c r="J82" s="291"/>
      <c r="K82" s="291"/>
      <c r="L82" s="291"/>
      <c r="M82" s="291"/>
    </row>
    <row r="83" spans="1:13" x14ac:dyDescent="0.2">
      <c r="A83" s="208"/>
      <c r="B83" s="208"/>
      <c r="C83" s="291"/>
      <c r="D83" s="291"/>
      <c r="E83" s="291"/>
      <c r="F83" s="291"/>
      <c r="G83" s="291"/>
      <c r="H83" s="291"/>
      <c r="I83" s="291"/>
      <c r="J83" s="291"/>
      <c r="K83" s="291"/>
      <c r="L83" s="291"/>
      <c r="M83" s="291"/>
    </row>
    <row r="84" spans="1:13" x14ac:dyDescent="0.2">
      <c r="A84" s="208"/>
      <c r="B84" s="208"/>
      <c r="C84" s="291"/>
      <c r="D84" s="291"/>
      <c r="E84" s="291"/>
      <c r="F84" s="291"/>
      <c r="G84" s="291"/>
      <c r="H84" s="291"/>
      <c r="I84" s="291"/>
      <c r="J84" s="291"/>
      <c r="K84" s="291"/>
      <c r="L84" s="291"/>
      <c r="M84" s="291"/>
    </row>
    <row r="85" spans="1:13" x14ac:dyDescent="0.2">
      <c r="A85" s="208"/>
      <c r="B85" s="208"/>
      <c r="C85" s="291"/>
      <c r="D85" s="291"/>
      <c r="E85" s="291"/>
      <c r="F85" s="291"/>
      <c r="G85" s="291"/>
      <c r="H85" s="291"/>
      <c r="I85" s="291"/>
      <c r="J85" s="291"/>
      <c r="K85" s="291"/>
      <c r="L85" s="291"/>
      <c r="M85" s="291"/>
    </row>
    <row r="86" spans="1:13" x14ac:dyDescent="0.2">
      <c r="A86" s="208"/>
      <c r="B86" s="208"/>
      <c r="C86" s="291"/>
      <c r="D86" s="291"/>
      <c r="E86" s="291"/>
      <c r="F86" s="291"/>
      <c r="G86" s="291"/>
      <c r="H86" s="291"/>
      <c r="I86" s="291"/>
      <c r="J86" s="291"/>
      <c r="K86" s="291"/>
      <c r="L86" s="291"/>
      <c r="M86" s="291"/>
    </row>
    <row r="87" spans="1:13" x14ac:dyDescent="0.2">
      <c r="A87" s="208"/>
      <c r="B87" s="208"/>
      <c r="C87" s="291"/>
      <c r="D87" s="291"/>
      <c r="E87" s="291"/>
      <c r="F87" s="291"/>
      <c r="G87" s="291"/>
      <c r="H87" s="291"/>
      <c r="I87" s="291"/>
      <c r="J87" s="291"/>
      <c r="K87" s="291"/>
      <c r="L87" s="291"/>
      <c r="M87" s="291"/>
    </row>
    <row r="88" spans="1:13" x14ac:dyDescent="0.2">
      <c r="A88" s="208"/>
      <c r="B88" s="208"/>
      <c r="C88" s="291"/>
      <c r="D88" s="291"/>
      <c r="E88" s="291"/>
      <c r="F88" s="291"/>
      <c r="G88" s="291"/>
      <c r="H88" s="291"/>
      <c r="I88" s="291"/>
      <c r="J88" s="291"/>
      <c r="K88" s="291"/>
      <c r="L88" s="291"/>
      <c r="M88" s="291"/>
    </row>
    <row r="89" spans="1:13" x14ac:dyDescent="0.2">
      <c r="A89" s="208"/>
      <c r="B89" s="208"/>
      <c r="C89" s="291"/>
      <c r="D89" s="291"/>
      <c r="E89" s="291"/>
      <c r="F89" s="291"/>
      <c r="G89" s="291"/>
      <c r="H89" s="291"/>
      <c r="I89" s="291"/>
      <c r="J89" s="291"/>
      <c r="K89" s="291"/>
      <c r="L89" s="291"/>
      <c r="M89" s="291"/>
    </row>
    <row r="90" spans="1:13" x14ac:dyDescent="0.2">
      <c r="A90" s="208"/>
      <c r="B90" s="208"/>
      <c r="C90" s="291"/>
      <c r="D90" s="291"/>
      <c r="E90" s="291"/>
      <c r="F90" s="291"/>
      <c r="G90" s="291"/>
      <c r="H90" s="291"/>
      <c r="I90" s="291"/>
      <c r="J90" s="291"/>
      <c r="K90" s="291"/>
      <c r="L90" s="291"/>
      <c r="M90" s="291"/>
    </row>
  </sheetData>
  <sheetProtection password="A70A" sheet="1" objects="1" scenarios="1"/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2014-10-24T14:31:29Z</cp:lastPrinted>
  <dcterms:created xsi:type="dcterms:W3CDTF">1997-12-04T19:04:30Z</dcterms:created>
  <dcterms:modified xsi:type="dcterms:W3CDTF">2014-12-05T16:09:25Z</dcterms:modified>
</cp:coreProperties>
</file>