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330" windowWidth="12735" windowHeight="61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465" i="1" l="1"/>
  <c r="F118" i="1"/>
  <c r="F57" i="1"/>
  <c r="F582" i="1"/>
  <c r="H543" i="1" l="1"/>
  <c r="H542" i="1"/>
  <c r="H541" i="1"/>
  <c r="F502" i="1" l="1"/>
  <c r="F498" i="1"/>
  <c r="C12" i="12" l="1"/>
  <c r="C11" i="12"/>
  <c r="C10" i="12"/>
  <c r="B12" i="12"/>
  <c r="B11" i="12"/>
  <c r="B10" i="12"/>
  <c r="H465" i="1" l="1"/>
  <c r="J594" i="1" l="1"/>
  <c r="I594" i="1"/>
  <c r="H244" i="1"/>
  <c r="H155" i="1" l="1"/>
  <c r="G465" i="1"/>
  <c r="G358" i="1" l="1"/>
  <c r="H314" i="1" l="1"/>
  <c r="F314" i="1"/>
  <c r="G314" i="1"/>
  <c r="I295" i="1"/>
  <c r="H295" i="1"/>
  <c r="G295" i="1"/>
  <c r="F295" i="1"/>
  <c r="I276" i="1"/>
  <c r="H276" i="1"/>
  <c r="G276" i="1"/>
  <c r="F276" i="1"/>
  <c r="I359" i="1" l="1"/>
  <c r="G367" i="1" s="1"/>
  <c r="I360" i="1"/>
  <c r="H367" i="1" s="1"/>
  <c r="F367" i="1"/>
  <c r="I358" i="1"/>
  <c r="F358" i="1"/>
  <c r="G35" i="1"/>
  <c r="I604" i="1"/>
  <c r="I243" i="1"/>
  <c r="H243" i="1"/>
  <c r="I241" i="1"/>
  <c r="J239" i="1"/>
  <c r="I239" i="1"/>
  <c r="H239" i="1"/>
  <c r="G239" i="1"/>
  <c r="F239" i="1"/>
  <c r="J238" i="1"/>
  <c r="I238" i="1"/>
  <c r="H238" i="1"/>
  <c r="G238" i="1"/>
  <c r="F238" i="1"/>
  <c r="K234" i="1"/>
  <c r="H234" i="1"/>
  <c r="G234" i="1"/>
  <c r="F234" i="1"/>
  <c r="G233" i="1"/>
  <c r="F233" i="1"/>
  <c r="H226" i="1"/>
  <c r="I223" i="1"/>
  <c r="J221" i="1"/>
  <c r="I221" i="1"/>
  <c r="H221" i="1"/>
  <c r="G221" i="1"/>
  <c r="F221" i="1"/>
  <c r="J220" i="1"/>
  <c r="I220" i="1"/>
  <c r="H220" i="1"/>
  <c r="G220" i="1"/>
  <c r="F220" i="1"/>
  <c r="K216" i="1"/>
  <c r="H216" i="1"/>
  <c r="G216" i="1"/>
  <c r="F216" i="1"/>
  <c r="G215" i="1"/>
  <c r="F215" i="1"/>
  <c r="H208" i="1"/>
  <c r="I205" i="1"/>
  <c r="J203" i="1"/>
  <c r="I203" i="1"/>
  <c r="I204" i="1"/>
  <c r="H203" i="1"/>
  <c r="G203" i="1"/>
  <c r="F203" i="1"/>
  <c r="I202" i="1"/>
  <c r="H202" i="1"/>
  <c r="G202" i="1"/>
  <c r="F202" i="1"/>
  <c r="K198" i="1"/>
  <c r="H198" i="1"/>
  <c r="G198" i="1"/>
  <c r="F198" i="1"/>
  <c r="G197" i="1"/>
  <c r="F197" i="1"/>
  <c r="H592" i="1"/>
  <c r="H595" i="1"/>
  <c r="F109" i="1"/>
  <c r="F9" i="1"/>
  <c r="J468" i="1" l="1"/>
  <c r="I468" i="1"/>
  <c r="F110" i="1" l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22" i="2" s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H604" i="1" s="1"/>
  <c r="J309" i="1"/>
  <c r="J328" i="1"/>
  <c r="J604" i="1" s="1"/>
  <c r="K604" i="1" s="1"/>
  <c r="K605" i="1" s="1"/>
  <c r="G648" i="1" s="1"/>
  <c r="K309" i="1"/>
  <c r="K328" i="1"/>
  <c r="L276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C31" i="12"/>
  <c r="B9" i="12"/>
  <c r="B13" i="12"/>
  <c r="B31" i="12" s="1"/>
  <c r="A31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G663" i="1" s="1"/>
  <c r="L611" i="1"/>
  <c r="F663" i="1" s="1"/>
  <c r="C40" i="10"/>
  <c r="F60" i="1"/>
  <c r="G60" i="1"/>
  <c r="D56" i="2" s="1"/>
  <c r="H60" i="1"/>
  <c r="I60" i="1"/>
  <c r="F79" i="1"/>
  <c r="C57" i="2" s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L250" i="1"/>
  <c r="L332" i="1"/>
  <c r="L254" i="1"/>
  <c r="L268" i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E56" i="2"/>
  <c r="F56" i="2"/>
  <c r="E57" i="2"/>
  <c r="C58" i="2"/>
  <c r="E58" i="2"/>
  <c r="C59" i="2"/>
  <c r="D59" i="2"/>
  <c r="E59" i="2"/>
  <c r="F59" i="2"/>
  <c r="D60" i="2"/>
  <c r="D62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E113" i="2"/>
  <c r="C114" i="2"/>
  <c r="E114" i="2"/>
  <c r="D115" i="2"/>
  <c r="F115" i="2"/>
  <c r="G115" i="2"/>
  <c r="E118" i="2"/>
  <c r="E119" i="2"/>
  <c r="E120" i="2"/>
  <c r="E121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22" i="1" s="1"/>
  <c r="D21" i="2" s="1"/>
  <c r="H19" i="1"/>
  <c r="G619" i="1" s="1"/>
  <c r="I19" i="1"/>
  <c r="F32" i="1"/>
  <c r="H32" i="1"/>
  <c r="I32" i="1"/>
  <c r="H51" i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J470" i="1"/>
  <c r="J476" i="1" s="1"/>
  <c r="H626" i="1" s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3" i="1"/>
  <c r="G624" i="1"/>
  <c r="G625" i="1"/>
  <c r="H630" i="1"/>
  <c r="H631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52" i="1"/>
  <c r="H652" i="1"/>
  <c r="G653" i="1"/>
  <c r="H653" i="1"/>
  <c r="G654" i="1"/>
  <c r="H654" i="1"/>
  <c r="H655" i="1"/>
  <c r="J655" i="1" s="1"/>
  <c r="L256" i="1"/>
  <c r="C26" i="10"/>
  <c r="L328" i="1"/>
  <c r="L351" i="1"/>
  <c r="A40" i="12"/>
  <c r="D18" i="13"/>
  <c r="C18" i="13" s="1"/>
  <c r="D17" i="13"/>
  <c r="C17" i="13" s="1"/>
  <c r="F78" i="2"/>
  <c r="F81" i="2" s="1"/>
  <c r="G157" i="2"/>
  <c r="F18" i="2"/>
  <c r="E103" i="2"/>
  <c r="E62" i="2"/>
  <c r="E63" i="2" s="1"/>
  <c r="G62" i="2"/>
  <c r="D19" i="13"/>
  <c r="C19" i="13" s="1"/>
  <c r="E78" i="2"/>
  <c r="E81" i="2" s="1"/>
  <c r="L427" i="1"/>
  <c r="H112" i="1"/>
  <c r="J641" i="1"/>
  <c r="J639" i="1"/>
  <c r="J571" i="1"/>
  <c r="K571" i="1"/>
  <c r="L433" i="1"/>
  <c r="L419" i="1"/>
  <c r="D81" i="2"/>
  <c r="I169" i="1"/>
  <c r="H169" i="1"/>
  <c r="J644" i="1"/>
  <c r="J643" i="1"/>
  <c r="J140" i="1"/>
  <c r="F571" i="1"/>
  <c r="I552" i="1"/>
  <c r="G22" i="2"/>
  <c r="C29" i="10"/>
  <c r="H140" i="1"/>
  <c r="L393" i="1"/>
  <c r="F22" i="13"/>
  <c r="J640" i="1"/>
  <c r="H571" i="1"/>
  <c r="L560" i="1"/>
  <c r="G192" i="1"/>
  <c r="H192" i="1"/>
  <c r="E128" i="2"/>
  <c r="L309" i="1"/>
  <c r="L570" i="1"/>
  <c r="I571" i="1"/>
  <c r="J636" i="1"/>
  <c r="G36" i="2"/>
  <c r="L565" i="1"/>
  <c r="C22" i="13"/>
  <c r="C138" i="2"/>
  <c r="J552" i="1" l="1"/>
  <c r="H545" i="1"/>
  <c r="I545" i="1"/>
  <c r="H552" i="1"/>
  <c r="J545" i="1"/>
  <c r="K545" i="1"/>
  <c r="L534" i="1"/>
  <c r="K549" i="1"/>
  <c r="G112" i="1"/>
  <c r="D63" i="2"/>
  <c r="C35" i="10"/>
  <c r="G164" i="2"/>
  <c r="K500" i="1"/>
  <c r="A13" i="12"/>
  <c r="G32" i="1"/>
  <c r="G52" i="1" s="1"/>
  <c r="H618" i="1" s="1"/>
  <c r="J618" i="1" s="1"/>
  <c r="E31" i="2"/>
  <c r="D50" i="2"/>
  <c r="H663" i="1"/>
  <c r="J338" i="1"/>
  <c r="J352" i="1" s="1"/>
  <c r="F338" i="1"/>
  <c r="F352" i="1" s="1"/>
  <c r="G338" i="1"/>
  <c r="G352" i="1" s="1"/>
  <c r="H338" i="1"/>
  <c r="H352" i="1" s="1"/>
  <c r="E109" i="2"/>
  <c r="G651" i="1"/>
  <c r="J651" i="1" s="1"/>
  <c r="E13" i="13"/>
  <c r="C13" i="13" s="1"/>
  <c r="C120" i="2"/>
  <c r="G650" i="1"/>
  <c r="C21" i="10"/>
  <c r="K598" i="1"/>
  <c r="G647" i="1" s="1"/>
  <c r="I369" i="1"/>
  <c r="H634" i="1" s="1"/>
  <c r="J634" i="1" s="1"/>
  <c r="H25" i="13"/>
  <c r="C25" i="13" s="1"/>
  <c r="D18" i="2"/>
  <c r="C18" i="2"/>
  <c r="H52" i="1"/>
  <c r="H619" i="1" s="1"/>
  <c r="J619" i="1" s="1"/>
  <c r="C78" i="2"/>
  <c r="C20" i="10"/>
  <c r="E8" i="13"/>
  <c r="C8" i="13" s="1"/>
  <c r="C123" i="2"/>
  <c r="D14" i="13"/>
  <c r="C14" i="13" s="1"/>
  <c r="C13" i="10"/>
  <c r="C19" i="10"/>
  <c r="C17" i="10"/>
  <c r="K257" i="1"/>
  <c r="K271" i="1" s="1"/>
  <c r="C12" i="10"/>
  <c r="C118" i="2"/>
  <c r="C110" i="2"/>
  <c r="C125" i="2"/>
  <c r="E16" i="13"/>
  <c r="G649" i="1"/>
  <c r="J649" i="1" s="1"/>
  <c r="C124" i="2"/>
  <c r="L247" i="1"/>
  <c r="H660" i="1" s="1"/>
  <c r="D7" i="13"/>
  <c r="C7" i="13" s="1"/>
  <c r="J257" i="1"/>
  <c r="J271" i="1" s="1"/>
  <c r="I257" i="1"/>
  <c r="I271" i="1" s="1"/>
  <c r="C16" i="10"/>
  <c r="G257" i="1"/>
  <c r="G271" i="1" s="1"/>
  <c r="D12" i="13"/>
  <c r="C12" i="13" s="1"/>
  <c r="L229" i="1"/>
  <c r="G660" i="1" s="1"/>
  <c r="F257" i="1"/>
  <c r="F271" i="1" s="1"/>
  <c r="D5" i="13"/>
  <c r="C5" i="13" s="1"/>
  <c r="C121" i="2"/>
  <c r="D15" i="13"/>
  <c r="C15" i="13" s="1"/>
  <c r="F662" i="1"/>
  <c r="I662" i="1" s="1"/>
  <c r="H647" i="1"/>
  <c r="C119" i="2"/>
  <c r="C18" i="10"/>
  <c r="D6" i="13"/>
  <c r="C6" i="13" s="1"/>
  <c r="C15" i="10"/>
  <c r="L211" i="1"/>
  <c r="C109" i="2"/>
  <c r="C115" i="2" s="1"/>
  <c r="C10" i="10"/>
  <c r="J645" i="1"/>
  <c r="K551" i="1"/>
  <c r="K550" i="1"/>
  <c r="G545" i="1"/>
  <c r="G552" i="1"/>
  <c r="L529" i="1"/>
  <c r="F112" i="1"/>
  <c r="C36" i="10" s="1"/>
  <c r="C56" i="2"/>
  <c r="L401" i="1"/>
  <c r="C139" i="2" s="1"/>
  <c r="H661" i="1"/>
  <c r="D31" i="2"/>
  <c r="H257" i="1"/>
  <c r="H271" i="1" s="1"/>
  <c r="F661" i="1"/>
  <c r="C70" i="2"/>
  <c r="C62" i="2"/>
  <c r="C16" i="13"/>
  <c r="F552" i="1"/>
  <c r="L524" i="1"/>
  <c r="G661" i="1"/>
  <c r="D29" i="13"/>
  <c r="C29" i="13" s="1"/>
  <c r="D127" i="2"/>
  <c r="D128" i="2" s="1"/>
  <c r="D145" i="2" s="1"/>
  <c r="L36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F31" i="2"/>
  <c r="C31" i="2"/>
  <c r="E18" i="2"/>
  <c r="E144" i="2"/>
  <c r="F50" i="2"/>
  <c r="F51" i="2" s="1"/>
  <c r="C24" i="10"/>
  <c r="I338" i="1"/>
  <c r="I352" i="1" s="1"/>
  <c r="J650" i="1"/>
  <c r="L407" i="1"/>
  <c r="C140" i="2" s="1"/>
  <c r="L571" i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169" i="1"/>
  <c r="C39" i="10" s="1"/>
  <c r="G140" i="1"/>
  <c r="F140" i="1"/>
  <c r="G63" i="2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E104" i="2"/>
  <c r="I663" i="1"/>
  <c r="E51" i="2" l="1"/>
  <c r="F51" i="1"/>
  <c r="C49" i="2"/>
  <c r="C50" i="2" s="1"/>
  <c r="C51" i="2" s="1"/>
  <c r="D51" i="2"/>
  <c r="K290" i="1"/>
  <c r="L277" i="1"/>
  <c r="G629" i="1"/>
  <c r="H468" i="1"/>
  <c r="G635" i="1"/>
  <c r="G472" i="1"/>
  <c r="I474" i="1" s="1"/>
  <c r="J647" i="1"/>
  <c r="H33" i="13"/>
  <c r="I661" i="1"/>
  <c r="C81" i="2"/>
  <c r="E33" i="13"/>
  <c r="D35" i="13" s="1"/>
  <c r="H648" i="1"/>
  <c r="J648" i="1" s="1"/>
  <c r="C128" i="2"/>
  <c r="L257" i="1"/>
  <c r="L271" i="1" s="1"/>
  <c r="K552" i="1"/>
  <c r="L545" i="1"/>
  <c r="F193" i="1"/>
  <c r="C63" i="2"/>
  <c r="C141" i="2"/>
  <c r="C144" i="2" s="1"/>
  <c r="L408" i="1"/>
  <c r="H664" i="1"/>
  <c r="H672" i="1" s="1"/>
  <c r="C6" i="10" s="1"/>
  <c r="C27" i="10"/>
  <c r="G104" i="2"/>
  <c r="G664" i="1"/>
  <c r="G631" i="1"/>
  <c r="J631" i="1" s="1"/>
  <c r="G193" i="1"/>
  <c r="G626" i="1"/>
  <c r="J626" i="1" s="1"/>
  <c r="J52" i="1"/>
  <c r="H621" i="1" s="1"/>
  <c r="J621" i="1" s="1"/>
  <c r="C38" i="10"/>
  <c r="G628" i="1" l="1"/>
  <c r="G468" i="1"/>
  <c r="G622" i="1"/>
  <c r="F52" i="1"/>
  <c r="H617" i="1" s="1"/>
  <c r="J617" i="1" s="1"/>
  <c r="E110" i="2"/>
  <c r="E115" i="2" s="1"/>
  <c r="E145" i="2" s="1"/>
  <c r="L290" i="1"/>
  <c r="C11" i="10"/>
  <c r="C28" i="10" s="1"/>
  <c r="K338" i="1"/>
  <c r="K352" i="1" s="1"/>
  <c r="G31" i="13"/>
  <c r="G33" i="13" s="1"/>
  <c r="H470" i="1"/>
  <c r="H629" i="1"/>
  <c r="J629" i="1" s="1"/>
  <c r="H635" i="1"/>
  <c r="J635" i="1" s="1"/>
  <c r="G474" i="1"/>
  <c r="G632" i="1"/>
  <c r="F472" i="1"/>
  <c r="G627" i="1"/>
  <c r="F468" i="1"/>
  <c r="C104" i="2"/>
  <c r="C145" i="2"/>
  <c r="H667" i="1"/>
  <c r="G637" i="1"/>
  <c r="J637" i="1" s="1"/>
  <c r="H646" i="1"/>
  <c r="J646" i="1" s="1"/>
  <c r="G672" i="1"/>
  <c r="C5" i="10" s="1"/>
  <c r="G667" i="1"/>
  <c r="C41" i="10"/>
  <c r="D38" i="10" s="1"/>
  <c r="H628" i="1" l="1"/>
  <c r="J628" i="1" s="1"/>
  <c r="G470" i="1"/>
  <c r="G476" i="1" s="1"/>
  <c r="H623" i="1" s="1"/>
  <c r="J623" i="1" s="1"/>
  <c r="D24" i="10"/>
  <c r="D23" i="10"/>
  <c r="D10" i="10"/>
  <c r="D20" i="10"/>
  <c r="D17" i="10"/>
  <c r="C30" i="10"/>
  <c r="D26" i="10"/>
  <c r="D25" i="10"/>
  <c r="D22" i="10"/>
  <c r="D12" i="10"/>
  <c r="D15" i="10"/>
  <c r="D16" i="10"/>
  <c r="D13" i="10"/>
  <c r="D27" i="10"/>
  <c r="D19" i="10"/>
  <c r="D18" i="10"/>
  <c r="D21" i="10"/>
  <c r="D11" i="10"/>
  <c r="L338" i="1"/>
  <c r="L352" i="1" s="1"/>
  <c r="F660" i="1"/>
  <c r="D31" i="13"/>
  <c r="F474" i="1"/>
  <c r="H632" i="1"/>
  <c r="J632" i="1" s="1"/>
  <c r="F470" i="1"/>
  <c r="H627" i="1"/>
  <c r="J627" i="1" s="1"/>
  <c r="D37" i="10"/>
  <c r="D36" i="10"/>
  <c r="D35" i="10"/>
  <c r="D40" i="10"/>
  <c r="D39" i="10"/>
  <c r="D28" i="10" l="1"/>
  <c r="C31" i="13"/>
  <c r="D33" i="13"/>
  <c r="D36" i="13" s="1"/>
  <c r="F664" i="1"/>
  <c r="I660" i="1"/>
  <c r="I664" i="1" s="1"/>
  <c r="H472" i="1"/>
  <c r="G633" i="1"/>
  <c r="F476" i="1"/>
  <c r="H622" i="1" s="1"/>
  <c r="J622" i="1" s="1"/>
  <c r="D41" i="10"/>
  <c r="F672" i="1" l="1"/>
  <c r="C4" i="10" s="1"/>
  <c r="F667" i="1"/>
  <c r="H633" i="1"/>
  <c r="J633" i="1" s="1"/>
  <c r="H474" i="1"/>
  <c r="H476" i="1" s="1"/>
  <c r="I672" i="1"/>
  <c r="C7" i="10" s="1"/>
  <c r="I667" i="1"/>
  <c r="H624" i="1" l="1"/>
  <c r="J624" i="1" s="1"/>
  <c r="I470" i="1"/>
  <c r="I476" i="1" s="1"/>
  <c r="H625" i="1" s="1"/>
  <c r="J625" i="1" s="1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<sst xmlns="http://schemas.openxmlformats.org/spreadsheetml/2006/main" count="3958" uniqueCount="916">
  <si>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</si>
  <si>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</si>
  <si>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</si>
  <si>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</si>
  <si>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</si>
  <si>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</si>
  <si>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</si>
  <si>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</si>
  <si>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</si>
  <si>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</si>
  <si>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</si>
  <si>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</si>
  <si>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</si>
  <si>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</si>
  <si>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</si>
  <si>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</si>
  <si>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</si>
  <si>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</si>
  <si>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</si>
  <si>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</si>
  <si>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</si>
  <si>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</si>
  <si>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</si>
  <si>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</si>
  <si>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</si>
  <si>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</si>
  <si>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</si>
  <si>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</si>
  <si>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</si>
  <si>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</si>
  <si>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</si>
  <si>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</si>
  <si>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</si>
  <si>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</si>
  <si>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</si>
  <si>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</si>
  <si>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</si>
  <si>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</si>
  <si>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</si>
  <si>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</si>
  <si>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</si>
  <si>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</si>
  <si>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</si>
  <si>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</si>
  <si>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</si>
  <si>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</si>
  <si>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</si>
  <si>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</si>
  <si>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</si>
  <si>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</si>
  <si>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</si>
  <si>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</si>
  <si>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</si>
  <si>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</si>
  <si>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</si>
  <si>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</si>
  <si>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</si>
  <si>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</si>
  <si>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</si>
  <si>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</si>
  <si>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</si>
  <si>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</si>
  <si>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</si>
  <si>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</si>
  <si>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</si>
  <si>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</si>
  <si>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</si>
  <si>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</si>
  <si>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</si>
  <si>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</si>
  <si>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</si>
  <si>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</si>
  <si>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</si>
  <si>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</si>
  <si>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</si>
  <si>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</si>
  <si>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</si>
  <si>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</si>
  <si>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</si>
  <si>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</si>
  <si>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</si>
  <si>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</si>
  <si>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</si>
  <si>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</si>
  <si>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</si>
  <si>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</si>
  <si>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</si>
  <si>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</si>
  <si>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</si>
  <si>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</si>
  <si>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</si>
  <si>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</si>
  <si>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</si>
  <si>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</si>
  <si>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</si>
  <si>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</si>
  <si>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</si>
  <si>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</si>
  <si>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</si>
  <si>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</si>
  <si>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</si>
  <si>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</si>
  <si>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</si>
  <si>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</si>
  <si>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</si>
  <si>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</si>
  <si>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</si>
  <si>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</si>
  <si>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</si>
  <si>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</si>
  <si>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</si>
  <si>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</si>
  <si>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</si>
  <si>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</si>
  <si>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</si>
  <si>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</si>
  <si>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</si>
  <si>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</si>
  <si>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</si>
  <si>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</si>
  <si>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</si>
  <si>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</si>
  <si>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</si>
  <si>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</si>
  <si>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</si>
  <si>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</si>
  <si>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</si>
  <si>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</si>
  <si>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</si>
  <si>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</si>
  <si>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</si>
  <si>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</si>
  <si>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</si>
  <si>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</si>
  <si>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</si>
  <si>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</si>
  <si>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</si>
  <si>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</si>
  <si>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</si>
  <si>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</si>
  <si>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</si>
  <si>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</si>
  <si>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</si>
  <si>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</si>
  <si>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</si>
  <si>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</si>
  <si>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</si>
  <si>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</si>
  <si>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</si>
  <si>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</si>
  <si>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</si>
  <si>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</si>
  <si>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</si>
  <si>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</si>
  <si>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</si>
  <si>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</si>
  <si>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</si>
  <si>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</si>
  <si>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</si>
  <si>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</si>
  <si>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</si>
  <si>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</si>
  <si>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</si>
  <si>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</si>
  <si>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</si>
  <si>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</si>
  <si>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</si>
  <si>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</si>
  <si>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</si>
  <si>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</si>
  <si>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</si>
  <si>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</si>
  <si>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</si>
  <si>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</si>
  <si>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</si>
  <si>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</si>
  <si>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</si>
  <si>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</si>
  <si>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</si>
  <si>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</si>
  <si>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</si>
  <si>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</si>
  <si>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</si>
  <si>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</si>
  <si>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</si>
  <si>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</si>
  <si>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</si>
  <si>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</si>
  <si>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</si>
  <si>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</si>
  <si>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</si>
  <si>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</si>
  <si>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</si>
  <si>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</si>
  <si>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</si>
  <si>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</si>
  <si>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</si>
  <si>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</si>
  <si>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</si>
  <si>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</si>
  <si>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</si>
  <si>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</si>
  <si>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</si>
  <si>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</si>
  <si>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</si>
  <si>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</si>
  <si>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</si>
  <si>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</si>
  <si>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</si>
  <si>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</si>
  <si>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</si>
  <si>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</si>
  <si>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</si>
  <si>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</si>
  <si>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</si>
  <si>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</si>
  <si>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</si>
  <si>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</si>
  <si>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</si>
  <si>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</si>
  <si>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</si>
  <si>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</si>
  <si>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</si>
  <si>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</si>
  <si>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</si>
  <si>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</si>
  <si>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</si>
  <si>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</si>
  <si>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</si>
  <si>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</si>
  <si>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</si>
  <si>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</si>
  <si>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</si>
  <si>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</si>
  <si>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</si>
  <si>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</si>
  <si>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</si>
  <si>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</si>
  <si>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</si>
  <si>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</si>
  <si>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</si>
  <si>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</si>
  <si>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</si>
  <si>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</si>
  <si>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</si>
  <si>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</si>
  <si>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</si>
  <si>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</si>
  <si>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</si>
  <si>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</si>
  <si>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</si>
  <si>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</si>
  <si>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</si>
  <si>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</si>
  <si>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</si>
  <si>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</si>
  <si>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</si>
  <si>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</si>
  <si>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</si>
  <si>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</si>
  <si>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</si>
  <si>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</si>
  <si>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</si>
  <si>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</si>
  <si>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</si>
  <si>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</si>
  <si>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</si>
  <si>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</si>
  <si>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</si>
  <si>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</si>
  <si>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</si>
  <si>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</si>
  <si>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</si>
  <si>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</si>
  <si>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</si>
  <si>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</si>
  <si>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</si>
  <si>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</si>
  <si>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</si>
  <si>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</si>
  <si>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</si>
  <si>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</si>
  <si>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</si>
  <si>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</si>
  <si>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</si>
  <si>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</si>
  <si>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</si>
  <si>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</si>
  <si>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</si>
  <si>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</si>
  <si>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</si>
  <si>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</si>
  <si>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</si>
  <si>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</si>
  <si>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</si>
  <si>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</si>
  <si>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</si>
  <si>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</si>
  <si>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</si>
  <si>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</si>
  <si>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</si>
  <si>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</si>
  <si>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</si>
  <si>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</si>
  <si>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</si>
  <si>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</si>
  <si>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</si>
  <si>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</si>
  <si>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</si>
  <si>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</si>
  <si>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</si>
  <si>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</si>
  <si>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</si>
  <si>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</si>
  <si>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</si>
  <si>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</si>
  <si>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</si>
  <si>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</si>
  <si>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</si>
  <si>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</si>
  <si>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</si>
  <si>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</si>
  <si>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</si>
  <si>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</si>
  <si>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</si>
  <si>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</si>
  <si>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</si>
  <si>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</si>
  <si>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</si>
  <si>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</si>
  <si>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</si>
  <si>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</si>
  <si>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</si>
  <si>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</si>
  <si>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</si>
  <si>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</si>
  <si>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</si>
  <si>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</si>
  <si>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</si>
  <si>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</si>
  <si>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</si>
  <si>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</si>
  <si>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</si>
  <si>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</si>
  <si>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</si>
  <si>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</si>
  <si>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</si>
  <si>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</si>
  <si>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</si>
  <si>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</si>
  <si>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</si>
  <si>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</si>
  <si>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</si>
  <si>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</si>
  <si>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</si>
  <si>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</si>
  <si>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</si>
  <si>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</si>
  <si>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</si>
  <si>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</si>
  <si>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</si>
  <si>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</si>
  <si>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</si>
  <si>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</si>
  <si>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</si>
  <si>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</si>
  <si>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</si>
  <si>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</si>
  <si>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</si>
  <si>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</si>
  <si>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</si>
  <si>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</si>
  <si>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</si>
  <si>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</si>
  <si>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</si>
  <si>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</si>
  <si>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</si>
  <si>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</si>
  <si>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</si>
  <si>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</si>
  <si>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</si>
  <si>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</si>
  <si>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</si>
  <si>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</si>
  <si>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</si>
  <si>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</si>
  <si>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</si>
  <si>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</si>
  <si>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</si>
  <si>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</si>
  <si>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</si>
  <si>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</si>
  <si>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</si>
  <si>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</si>
  <si>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</si>
  <si>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</si>
  <si>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</si>
  <si>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</si>
  <si>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</si>
  <si>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</si>
  <si>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</si>
  <si>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</si>
  <si>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</si>
  <si>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</si>
  <si>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</si>
  <si>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</si>
  <si>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</si>
  <si>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</si>
  <si>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</si>
  <si>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</si>
  <si>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</si>
  <si>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</si>
  <si>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</si>
  <si>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</si>
  <si>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</si>
  <si>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</si>
  <si>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</si>
  <si>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</si>
  <si>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</si>
  <si>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</si>
  <si>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</si>
  <si>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</si>
  <si>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</si>
  <si>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</si>
  <si>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</si>
  <si>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</si>
  <si>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</si>
  <si>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</si>
  <si>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</si>
  <si>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</si>
  <si>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</si>
  <si>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</si>
  <si>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</si>
  <si>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</si>
  <si>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</si>
  <si>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</si>
  <si>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</si>
  <si>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</si>
  <si>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</si>
  <si>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</si>
  <si>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</si>
  <si>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</si>
  <si>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</si>
  <si>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</si>
  <si>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</si>
  <si>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</si>
  <si>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</si>
  <si>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</si>
  <si>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</si>
  <si>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</si>
  <si>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</si>
  <si>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</si>
  <si>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</si>
  <si>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</si>
  <si>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</si>
  <si>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</si>
  <si>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</si>
  <si>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</si>
  <si>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</si>
  <si>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</si>
  <si>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</si>
  <si>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</si>
  <si>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</si>
  <si>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</si>
  <si>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</si>
  <si>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</si>
  <si>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</si>
  <si>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</si>
  <si>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</si>
  <si>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</si>
  <si>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</si>
  <si>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</si>
  <si>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</si>
  <si>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</si>
  <si>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</si>
  <si>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</si>
  <si>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</si>
  <si>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</si>
  <si>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</si>
  <si>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</si>
  <si>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</si>
  <si>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</si>
  <si>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</si>
  <si>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</si>
  <si>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</si>
  <si>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</si>
  <si>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</si>
  <si>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</si>
  <si>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</si>
  <si>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</si>
  <si>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</si>
  <si>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</si>
  <si>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</si>
  <si>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</si>
  <si>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</si>
  <si>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</si>
  <si>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</si>
  <si>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</si>
  <si>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</si>
  <si>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</si>
  <si>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</si>
  <si>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</si>
  <si>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</si>
  <si>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</si>
  <si>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</si>
  <si>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</si>
  <si>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</si>
  <si>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</si>
  <si>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</si>
  <si>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</si>
  <si>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</si>
  <si>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</si>
  <si>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</si>
  <si>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</si>
  <si>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</si>
  <si>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</si>
  <si>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</si>
  <si>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</si>
  <si>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</si>
  <si>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</si>
  <si>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</si>
  <si>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</si>
  <si>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</si>
  <si>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</si>
  <si>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</si>
  <si>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</si>
  <si>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</si>
  <si>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</si>
  <si>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</si>
  <si>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</si>
  <si>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</si>
  <si>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</si>
  <si>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</si>
  <si>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</si>
  <si>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</si>
  <si>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</si>
  <si>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</si>
  <si>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</si>
  <si>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</si>
  <si>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</si>
  <si>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</si>
  <si>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</si>
  <si>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</si>
  <si>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</si>
  <si>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</si>
  <si>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</si>
  <si>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</si>
  <si>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</si>
  <si>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</si>
  <si>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</si>
  <si>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</si>
  <si>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</si>
  <si>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</si>
  <si>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</si>
  <si>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</si>
  <si>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</si>
  <si>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</si>
  <si>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</si>
  <si>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</si>
  <si>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</si>
  <si>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</si>
  <si>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</si>
  <si>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</si>
  <si>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</si>
  <si>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</si>
  <si>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</si>
  <si>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</si>
  <si>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</si>
  <si>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</si>
  <si>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</si>
  <si>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</si>
  <si>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</si>
  <si>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</si>
  <si>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</si>
  <si>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</si>
  <si>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</si>
  <si>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</si>
  <si>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</si>
  <si>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</si>
  <si>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</si>
  <si>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</si>
  <si>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</si>
  <si>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</si>
  <si>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</si>
  <si>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</si>
  <si>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</si>
  <si>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</si>
  <si>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</si>
  <si>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</si>
  <si>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</si>
  <si>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</si>
  <si>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</si>
  <si>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</si>
  <si>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</si>
  <si>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</si>
  <si>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</si>
  <si>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</si>
  <si>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</si>
  <si>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</si>
  <si>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</si>
  <si>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</si>
  <si>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</si>
  <si>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</si>
  <si>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</si>
  <si>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</si>
  <si>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</si>
  <si>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</si>
  <si>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</si>
  <si>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</si>
  <si>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</si>
  <si>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</si>
  <si>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</si>
  <si>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</si>
  <si>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</si>
  <si>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</si>
  <si>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</si>
  <si>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</si>
  <si>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</si>
  <si>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</si>
  <si>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</si>
  <si>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</si>
  <si>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</si>
  <si>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</si>
  <si>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</si>
  <si>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</si>
  <si>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</si>
  <si>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</si>
  <si>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</si>
  <si>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</si>
  <si>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</si>
  <si>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</si>
  <si>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</si>
  <si>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</si>
  <si>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</si>
  <si>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</si>
  <si>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</si>
  <si>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</si>
  <si>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</si>
  <si>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</si>
  <si>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</si>
  <si>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</si>
  <si>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</si>
  <si>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</si>
  <si>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</si>
  <si>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</si>
  <si>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</si>
  <si>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</si>
  <si>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</si>
  <si>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</si>
  <si>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</si>
  <si>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</si>
  <si>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</si>
  <si>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</si>
  <si>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</si>
  <si>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</si>
  <si>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</si>
  <si>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</si>
  <si>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</si>
  <si>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</si>
  <si>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</si>
  <si>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</si>
  <si>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</si>
  <si>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</si>
  <si>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</si>
  <si>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</si>
  <si>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</si>
  <si>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</si>
  <si>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</si>
  <si>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</si>
  <si>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</si>
  <si>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</si>
  <si>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</si>
  <si>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</si>
  <si>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</si>
  <si>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</si>
  <si>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</si>
  <si>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</si>
  <si>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</si>
  <si>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</si>
  <si>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</si>
  <si>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</si>
  <si>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</si>
  <si>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</si>
  <si>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</si>
  <si>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</si>
  <si>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</si>
  <si>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</si>
  <si>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</si>
  <si>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</si>
  <si>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</si>
  <si>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</si>
  <si>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</si>
  <si>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</si>
  <si>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</si>
  <si>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</si>
  <si>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</si>
  <si>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</si>
  <si>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</si>
  <si>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</si>
  <si>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</si>
  <si>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</si>
  <si>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</si>
  <si>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</si>
  <si>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</si>
  <si>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</si>
  <si>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</si>
  <si>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</si>
  <si>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</si>
  <si>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</si>
  <si>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</si>
  <si>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</si>
  <si>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</si>
  <si>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</si>
  <si>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</si>
  <si>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</si>
  <si>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</si>
  <si>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</si>
  <si>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</si>
  <si>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</si>
  <si>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</si>
  <si>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</si>
  <si>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</si>
  <si>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</si>
  <si>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</si>
  <si>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</si>
  <si>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</si>
  <si>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</si>
  <si>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</si>
  <si>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</si>
  <si>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</si>
  <si>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</si>
  <si>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</si>
  <si>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</si>
  <si>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</si>
  <si>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</si>
  <si>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</si>
  <si>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</si>
  <si>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</si>
  <si>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</si>
  <si>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</si>
  <si>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</si>
  <si>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</si>
  <si>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</si>
  <si>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</si>
  <si>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</si>
  <si>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</si>
  <si>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</si>
  <si>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</si>
  <si>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</si>
  <si>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</si>
  <si>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</si>
  <si>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</si>
  <si>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</si>
  <si>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</si>
  <si>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</si>
  <si>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</si>
  <si>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</si>
  <si>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</si>
  <si>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</si>
  <si>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</si>
  <si>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</si>
  <si>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</si>
  <si>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</si>
  <si>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</si>
  <si>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</si>
  <si>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</si>
  <si>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</si>
  <si>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</si>
  <si>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</si>
  <si>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</si>
  <si>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</si>
  <si>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</si>
  <si>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</si>
  <si>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</si>
  <si>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</si>
  <si>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</si>
  <si>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</si>
  <si>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</si>
  <si>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</si>
  <si>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</si>
  <si>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</si>
  <si>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</si>
  <si>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</si>
  <si>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</si>
  <si>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</si>
  <si>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</si>
  <si>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</si>
  <si>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</si>
  <si>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</si>
  <si>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</si>
  <si>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</si>
  <si>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</si>
  <si>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</si>
  <si>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</si>
  <si>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</si>
  <si>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</si>
  <si>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</si>
  <si>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</si>
  <si>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</si>
  <si>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</si>
  <si>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</si>
  <si>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</si>
  <si>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</si>
  <si>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</si>
  <si>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</si>
  <si>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</si>
  <si>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</si>
  <si>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</si>
  <si>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</si>
  <si>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</si>
  <si>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</si>
  <si>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</si>
  <si>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</si>
  <si>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</si>
  <si>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</si>
  <si>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</si>
  <si>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</si>
  <si>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</si>
  <si>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</si>
  <si>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</si>
  <si>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</si>
  <si>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</si>
  <si>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</si>
  <si>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</si>
  <si>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</si>
  <si>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</si>
  <si>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</si>
  <si>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</si>
  <si>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</si>
  <si>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</si>
  <si>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</si>
  <si>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</si>
  <si>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</si>
  <si>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</si>
  <si>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</si>
  <si>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</si>
  <si>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</si>
  <si>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</si>
  <si>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</si>
  <si>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</si>
  <si>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</si>
  <si>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</si>
  <si>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</si>
  <si>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</si>
  <si>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</si>
  <si>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</si>
  <si>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</si>
  <si>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</si>
  <si>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</si>
  <si>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</si>
  <si>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</si>
  <si>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</si>
  <si>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</si>
  <si>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</si>
  <si>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</si>
  <si>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</si>
  <si>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</si>
  <si>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</si>
  <si>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</si>
  <si>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</si>
  <si>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</si>
  <si>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</si>
  <si>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</si>
  <si>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</si>
  <si>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</si>
  <si>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</si>
  <si>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</si>
  <si>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</si>
  <si>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</si>
  <si>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</si>
  <si>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</si>
  <si>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</si>
  <si>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</si>
  <si>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</si>
  <si>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</si>
  <si>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</si>
  <si>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</si>
  <si>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</si>
  <si>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</si>
  <si>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</si>
  <si>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</si>
  <si>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</si>
  <si>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</si>
  <si>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</si>
  <si>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</si>
  <si>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</si>
  <si>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</si>
  <si>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</si>
  <si>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</si>
  <si>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</si>
  <si>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</si>
  <si>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</si>
  <si>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</si>
  <si>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</si>
  <si>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</si>
  <si>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</si>
  <si>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</si>
  <si>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</si>
  <si>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</si>
  <si>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</si>
  <si>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</si>
  <si>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</si>
  <si>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</si>
  <si>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</si>
  <si>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</si>
  <si>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</si>
  <si>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</si>
  <si>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</si>
  <si>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</si>
  <si>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</si>
  <si>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</si>
  <si>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Other local revenue = includes $ 37,651 Impact fees from Town of Hillsborough</t>
  </si>
  <si>
    <t>HILLSBORO-DEERING CO-OPERATIVE</t>
  </si>
  <si>
    <t xml:space="preserve">Proir Year Expenditures - $ 235,959 = LGC Insurance rebate </t>
  </si>
  <si>
    <t>07/02</t>
  </si>
  <si>
    <t>07/24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</si>
</sst>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88" zoomScaleNormal="88" workbookViewId="0">
      <pane xSplit="5" ySplit="3" topLeftCell="F633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251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1924230</f>
        <v>1924230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64174</v>
      </c>
      <c r="G12" s="18"/>
      <c r="H12" s="18">
        <v>30164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22213</v>
      </c>
      <c r="H13" s="18">
        <v>244379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12931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1988404</v>
      </c>
      <c r="G19" s="41">
        <f>SUM(G9:G18)</f>
        <v>35144</v>
      </c>
      <c r="H19" s="41">
        <f>SUM(H9:H18)</f>
        <v>274543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f>G19-G51-G24</f>
        <v>21408</v>
      </c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216833</v>
      </c>
      <c r="G24" s="18">
        <v>805</v>
      </c>
      <c r="H24" s="18">
        <v>4814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29833</v>
      </c>
      <c r="G30" s="18"/>
      <c r="H30" s="18">
        <v>223479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246666</v>
      </c>
      <c r="G32" s="41">
        <f>SUM(G22:G31)</f>
        <v>22213</v>
      </c>
      <c r="H32" s="41">
        <f>SUM(H22:H31)</f>
        <v>228293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f>G16</f>
        <v>12931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270132</v>
      </c>
      <c r="G49" s="18"/>
      <c r="H49" s="18">
        <v>46250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F19-F32-F49-50000</f>
        <v>1421606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1741738</v>
      </c>
      <c r="G51" s="41">
        <f>SUM(G35:G50)</f>
        <v>12931</v>
      </c>
      <c r="H51" s="41">
        <f>SUM(H35:H50)</f>
        <v>46250</v>
      </c>
      <c r="I51" s="41">
        <f>SUM(I35:I50)</f>
        <v>0</v>
      </c>
      <c r="J51" s="41">
        <f>SUM(J35:J50)</f>
        <v>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1988404</v>
      </c>
      <c r="G52" s="41">
        <f>G51+G32</f>
        <v>35144</v>
      </c>
      <c r="H52" s="41">
        <f>H51+H32</f>
        <v>274543</v>
      </c>
      <c r="I52" s="41">
        <f>I51+I32</f>
        <v>0</v>
      </c>
      <c r="J52" s="41">
        <f>J51+J32</f>
        <v>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10034593-30061</f>
        <v>10004532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10004532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1727135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1727135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3315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216991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25000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167725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f>21337+214622</f>
        <v>235959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66154-25000</f>
        <v>41154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305428</v>
      </c>
      <c r="G111" s="41">
        <f>SUM(G96:G110)</f>
        <v>216991</v>
      </c>
      <c r="H111" s="41">
        <f>SUM(H96:H110)</f>
        <v>167725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12037095</v>
      </c>
      <c r="G112" s="41">
        <f>G60+G111</f>
        <v>216991</v>
      </c>
      <c r="H112" s="41">
        <f>H60+H79+H94+H111</f>
        <v>167725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6215136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f>1507352+30061+961</f>
        <v>1538374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7753510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368556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237935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20824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5406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627315</v>
      </c>
      <c r="G136" s="41">
        <f>SUM(G123:G135)</f>
        <v>5406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8380825</v>
      </c>
      <c r="G140" s="41">
        <f>G121+SUM(G136:G137)</f>
        <v>5406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473345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747228-34549</f>
        <v>712679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355839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205766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205766</v>
      </c>
      <c r="G162" s="41">
        <f>SUM(G150:G161)</f>
        <v>355839</v>
      </c>
      <c r="H162" s="41">
        <f>SUM(H150:H161)</f>
        <v>1186024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205766</v>
      </c>
      <c r="G169" s="41">
        <f>G147+G162+SUM(G163:G168)</f>
        <v>355839</v>
      </c>
      <c r="H169" s="41">
        <f>H147+H162+SUM(H163:H168)</f>
        <v>1186024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50000</v>
      </c>
      <c r="H179" s="18"/>
      <c r="I179" s="18"/>
      <c r="J179" s="18">
        <v>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50000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50000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20623686</v>
      </c>
      <c r="G193" s="47">
        <f>G112+G140+G169+G192</f>
        <v>628236</v>
      </c>
      <c r="H193" s="47">
        <f>H112+H140+H169+H192</f>
        <v>1353749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1928363+8987</f>
        <v>1937350</v>
      </c>
      <c r="G197" s="18">
        <f>868395+751</f>
        <v>869146</v>
      </c>
      <c r="H197" s="18">
        <v>21436</v>
      </c>
      <c r="I197" s="18">
        <v>72896</v>
      </c>
      <c r="J197" s="18">
        <v>0</v>
      </c>
      <c r="K197" s="18">
        <v>0</v>
      </c>
      <c r="L197" s="19">
        <f>SUM(F197:K197)</f>
        <v>2900828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849951+76311</f>
        <v>926262</v>
      </c>
      <c r="G198" s="18">
        <f>497231+28290</f>
        <v>525521</v>
      </c>
      <c r="H198" s="18">
        <f>64436+114</f>
        <v>64550</v>
      </c>
      <c r="I198" s="18">
        <v>6946</v>
      </c>
      <c r="J198" s="18">
        <v>2991</v>
      </c>
      <c r="K198" s="18">
        <f>473+264</f>
        <v>737</v>
      </c>
      <c r="L198" s="19">
        <f>SUM(F198:K198)</f>
        <v>1527007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3020</v>
      </c>
      <c r="G200" s="18">
        <v>554</v>
      </c>
      <c r="H200" s="18"/>
      <c r="I200" s="18"/>
      <c r="J200" s="18"/>
      <c r="K200" s="18"/>
      <c r="L200" s="19">
        <f>SUM(F200:K200)</f>
        <v>3574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423763+23093</f>
        <v>446856</v>
      </c>
      <c r="G202" s="18">
        <f>226643+13967</f>
        <v>240610</v>
      </c>
      <c r="H202" s="18">
        <f>30451+693</f>
        <v>31144</v>
      </c>
      <c r="I202" s="18">
        <f>4315+1102</f>
        <v>5417</v>
      </c>
      <c r="J202" s="18">
        <v>215</v>
      </c>
      <c r="K202" s="18">
        <v>0</v>
      </c>
      <c r="L202" s="19">
        <f t="shared" ref="L202:L208" si="0">SUM(F202:K202)</f>
        <v>724242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84606+82871</f>
        <v>167477</v>
      </c>
      <c r="G203" s="18">
        <f>51181+55373</f>
        <v>106554</v>
      </c>
      <c r="H203" s="18">
        <f>12+12008</f>
        <v>12020</v>
      </c>
      <c r="I203" s="18">
        <f>12156+57581</f>
        <v>69737</v>
      </c>
      <c r="J203" s="18">
        <f>5170+33163</f>
        <v>38333</v>
      </c>
      <c r="K203" s="18">
        <v>172</v>
      </c>
      <c r="L203" s="19">
        <f t="shared" si="0"/>
        <v>394293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3867</v>
      </c>
      <c r="G204" s="18">
        <v>47202</v>
      </c>
      <c r="H204" s="18">
        <v>438273</v>
      </c>
      <c r="I204" s="18">
        <f>57</f>
        <v>57</v>
      </c>
      <c r="J204" s="18"/>
      <c r="K204" s="18">
        <v>5547</v>
      </c>
      <c r="L204" s="19">
        <f t="shared" si="0"/>
        <v>494946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211764</v>
      </c>
      <c r="G205" s="18">
        <v>110293</v>
      </c>
      <c r="H205" s="18">
        <v>6036</v>
      </c>
      <c r="I205" s="18">
        <f>3358+292</f>
        <v>3650</v>
      </c>
      <c r="J205" s="18">
        <v>0</v>
      </c>
      <c r="K205" s="18">
        <v>1459</v>
      </c>
      <c r="L205" s="19">
        <f t="shared" si="0"/>
        <v>333202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>
        <v>3586</v>
      </c>
      <c r="J206" s="18"/>
      <c r="K206" s="18"/>
      <c r="L206" s="19">
        <f t="shared" si="0"/>
        <v>3586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65132</v>
      </c>
      <c r="G207" s="18">
        <v>33158</v>
      </c>
      <c r="H207" s="18">
        <v>497799</v>
      </c>
      <c r="I207" s="18">
        <v>232706</v>
      </c>
      <c r="J207" s="18">
        <v>6420</v>
      </c>
      <c r="K207" s="18"/>
      <c r="L207" s="19">
        <f t="shared" si="0"/>
        <v>835215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6430+274550</f>
        <v>280980</v>
      </c>
      <c r="I208" s="18"/>
      <c r="J208" s="18"/>
      <c r="K208" s="18"/>
      <c r="L208" s="19">
        <f t="shared" si="0"/>
        <v>280980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3761728</v>
      </c>
      <c r="G211" s="41">
        <f t="shared" si="1"/>
        <v>1933038</v>
      </c>
      <c r="H211" s="41">
        <f t="shared" si="1"/>
        <v>1352238</v>
      </c>
      <c r="I211" s="41">
        <f t="shared" si="1"/>
        <v>394995</v>
      </c>
      <c r="J211" s="41">
        <f t="shared" si="1"/>
        <v>47959</v>
      </c>
      <c r="K211" s="41">
        <f t="shared" si="1"/>
        <v>7915</v>
      </c>
      <c r="L211" s="41">
        <f t="shared" si="1"/>
        <v>7497873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1130956+4542</f>
        <v>1135498</v>
      </c>
      <c r="G215" s="18">
        <f>556103+379</f>
        <v>556482</v>
      </c>
      <c r="H215" s="18">
        <v>9734</v>
      </c>
      <c r="I215" s="18">
        <v>47247</v>
      </c>
      <c r="J215" s="18">
        <v>934</v>
      </c>
      <c r="K215" s="18">
        <v>5302</v>
      </c>
      <c r="L215" s="19">
        <f>SUM(F215:K215)</f>
        <v>1755197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354424+38569</f>
        <v>392993</v>
      </c>
      <c r="G216" s="18">
        <f>219657+14298</f>
        <v>233955</v>
      </c>
      <c r="H216" s="18">
        <f>154760+57</f>
        <v>154817</v>
      </c>
      <c r="I216" s="18">
        <v>1844</v>
      </c>
      <c r="J216" s="18">
        <v>0</v>
      </c>
      <c r="K216" s="18">
        <f>229+134</f>
        <v>363</v>
      </c>
      <c r="L216" s="19">
        <f>SUM(F216:K216)</f>
        <v>783972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11165</v>
      </c>
      <c r="G218" s="18">
        <v>2285</v>
      </c>
      <c r="H218" s="18">
        <v>20000</v>
      </c>
      <c r="I218" s="18">
        <v>681</v>
      </c>
      <c r="J218" s="18">
        <v>0</v>
      </c>
      <c r="K218" s="18">
        <v>700</v>
      </c>
      <c r="L218" s="19">
        <f>SUM(F218:K218)</f>
        <v>34831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191729+11671</f>
        <v>203400</v>
      </c>
      <c r="G220" s="18">
        <f>98831+7059</f>
        <v>105890</v>
      </c>
      <c r="H220" s="18">
        <f>514+15391+350</f>
        <v>16255</v>
      </c>
      <c r="I220" s="18">
        <f>3395+557</f>
        <v>3952</v>
      </c>
      <c r="J220" s="18">
        <f>510+109</f>
        <v>619</v>
      </c>
      <c r="K220" s="18">
        <v>0</v>
      </c>
      <c r="L220" s="19">
        <f t="shared" ref="L220:L226" si="2">SUM(F220:K220)</f>
        <v>330116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69308+41884</f>
        <v>111192</v>
      </c>
      <c r="G221" s="18">
        <f>54267+27986</f>
        <v>82253</v>
      </c>
      <c r="H221" s="18">
        <f>70+6069</f>
        <v>6139</v>
      </c>
      <c r="I221" s="18">
        <f>13519+29102</f>
        <v>42621</v>
      </c>
      <c r="J221" s="18">
        <f>8933+16761</f>
        <v>25694</v>
      </c>
      <c r="K221" s="18">
        <v>87</v>
      </c>
      <c r="L221" s="19">
        <f t="shared" si="2"/>
        <v>267986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1954</v>
      </c>
      <c r="G222" s="18">
        <v>23857</v>
      </c>
      <c r="H222" s="18">
        <v>221510</v>
      </c>
      <c r="I222" s="18">
        <v>29</v>
      </c>
      <c r="J222" s="18"/>
      <c r="K222" s="18">
        <v>2803</v>
      </c>
      <c r="L222" s="19">
        <f t="shared" si="2"/>
        <v>250153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202618</v>
      </c>
      <c r="G223" s="18">
        <v>101756</v>
      </c>
      <c r="H223" s="18">
        <v>6308</v>
      </c>
      <c r="I223" s="18">
        <f>2511+148</f>
        <v>2659</v>
      </c>
      <c r="J223" s="18">
        <v>0</v>
      </c>
      <c r="K223" s="18">
        <v>613</v>
      </c>
      <c r="L223" s="19">
        <f t="shared" si="2"/>
        <v>313954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>
        <v>1812</v>
      </c>
      <c r="J224" s="18"/>
      <c r="K224" s="18"/>
      <c r="L224" s="19">
        <f t="shared" si="2"/>
        <v>1812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32919</v>
      </c>
      <c r="G225" s="18">
        <v>16758</v>
      </c>
      <c r="H225" s="18">
        <v>251595</v>
      </c>
      <c r="I225" s="18">
        <v>117613</v>
      </c>
      <c r="J225" s="18">
        <v>3245</v>
      </c>
      <c r="K225" s="18"/>
      <c r="L225" s="19">
        <f t="shared" si="2"/>
        <v>422130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23815.19+138761</f>
        <v>162576.19</v>
      </c>
      <c r="I226" s="18"/>
      <c r="J226" s="18"/>
      <c r="K226" s="18"/>
      <c r="L226" s="19">
        <f t="shared" si="2"/>
        <v>162576.19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2091739</v>
      </c>
      <c r="G229" s="41">
        <f>SUM(G215:G228)</f>
        <v>1123236</v>
      </c>
      <c r="H229" s="41">
        <f>SUM(H215:H228)</f>
        <v>848934.19</v>
      </c>
      <c r="I229" s="41">
        <f>SUM(I215:I228)</f>
        <v>218458</v>
      </c>
      <c r="J229" s="41">
        <f>SUM(J215:J228)</f>
        <v>30492</v>
      </c>
      <c r="K229" s="41">
        <f t="shared" si="3"/>
        <v>9868</v>
      </c>
      <c r="L229" s="41">
        <f t="shared" si="3"/>
        <v>4322727.1900000004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1708149+6635</f>
        <v>1714784</v>
      </c>
      <c r="G233" s="18">
        <f>903613+554</f>
        <v>904167</v>
      </c>
      <c r="H233" s="18">
        <v>22810</v>
      </c>
      <c r="I233" s="18">
        <v>41001</v>
      </c>
      <c r="J233" s="18">
        <v>2907</v>
      </c>
      <c r="K233" s="18">
        <v>9029</v>
      </c>
      <c r="L233" s="19">
        <f>SUM(F233:K233)</f>
        <v>2694698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692511+56338</f>
        <v>748849</v>
      </c>
      <c r="G234" s="18">
        <f>391363+20885</f>
        <v>412248</v>
      </c>
      <c r="H234" s="18">
        <f>112352+84</f>
        <v>112436</v>
      </c>
      <c r="I234" s="18">
        <v>10591</v>
      </c>
      <c r="J234" s="18">
        <v>564</v>
      </c>
      <c r="K234" s="18">
        <f>123+195</f>
        <v>318</v>
      </c>
      <c r="L234" s="19">
        <f>SUM(F234:K234)</f>
        <v>1285006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8073</v>
      </c>
      <c r="I235" s="18"/>
      <c r="J235" s="18"/>
      <c r="K235" s="18"/>
      <c r="L235" s="19">
        <f>SUM(F235:K235)</f>
        <v>8073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108778</v>
      </c>
      <c r="G236" s="18">
        <v>23566</v>
      </c>
      <c r="H236" s="18">
        <v>18868</v>
      </c>
      <c r="I236" s="18">
        <v>21070</v>
      </c>
      <c r="J236" s="18">
        <v>16720</v>
      </c>
      <c r="K236" s="18">
        <v>11347</v>
      </c>
      <c r="L236" s="19">
        <f>SUM(F236:K236)</f>
        <v>200349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253344+17049</f>
        <v>270393</v>
      </c>
      <c r="G238" s="18">
        <f>93822+10311</f>
        <v>104133</v>
      </c>
      <c r="H238" s="18">
        <f>3592+22481+512</f>
        <v>26585</v>
      </c>
      <c r="I238" s="18">
        <f>3424+814</f>
        <v>4238</v>
      </c>
      <c r="J238" s="18">
        <f>2900+159</f>
        <v>3059</v>
      </c>
      <c r="K238" s="18">
        <v>0</v>
      </c>
      <c r="L238" s="19">
        <f t="shared" ref="L238:L244" si="4">SUM(F238:K238)</f>
        <v>408408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58419+61181</f>
        <v>119600</v>
      </c>
      <c r="G239" s="18">
        <f>25382+40880</f>
        <v>66262</v>
      </c>
      <c r="H239" s="18">
        <f>275+8865</f>
        <v>9140</v>
      </c>
      <c r="I239" s="18">
        <f>15726+42510</f>
        <v>58236</v>
      </c>
      <c r="J239" s="18">
        <f>2909+24483</f>
        <v>27392</v>
      </c>
      <c r="K239" s="18">
        <v>127</v>
      </c>
      <c r="L239" s="19">
        <f t="shared" si="4"/>
        <v>280757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2855</v>
      </c>
      <c r="G240" s="18">
        <v>34848</v>
      </c>
      <c r="H240" s="18">
        <v>323563</v>
      </c>
      <c r="I240" s="18">
        <v>42</v>
      </c>
      <c r="J240" s="18"/>
      <c r="K240" s="18">
        <v>4095</v>
      </c>
      <c r="L240" s="19">
        <f t="shared" si="4"/>
        <v>365403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223753</v>
      </c>
      <c r="G241" s="18">
        <v>89449</v>
      </c>
      <c r="H241" s="18">
        <v>6313</v>
      </c>
      <c r="I241" s="18">
        <f>3684+216</f>
        <v>3900</v>
      </c>
      <c r="J241" s="18">
        <v>843</v>
      </c>
      <c r="K241" s="18">
        <v>12013</v>
      </c>
      <c r="L241" s="19">
        <f t="shared" si="4"/>
        <v>336271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>
        <v>2647</v>
      </c>
      <c r="J242" s="18"/>
      <c r="K242" s="18"/>
      <c r="L242" s="19">
        <f t="shared" si="4"/>
        <v>2647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48085</v>
      </c>
      <c r="G243" s="18">
        <v>24479</v>
      </c>
      <c r="H243" s="18">
        <f>367508+56332</f>
        <v>423840</v>
      </c>
      <c r="I243" s="18">
        <f>13945+171799</f>
        <v>185744</v>
      </c>
      <c r="J243" s="18">
        <v>4740</v>
      </c>
      <c r="K243" s="18"/>
      <c r="L243" s="19">
        <f t="shared" si="4"/>
        <v>686888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83858.52+202691+0.29</f>
        <v>286549.81</v>
      </c>
      <c r="I244" s="18"/>
      <c r="J244" s="18"/>
      <c r="K244" s="18"/>
      <c r="L244" s="19">
        <f t="shared" si="4"/>
        <v>286549.81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3237097</v>
      </c>
      <c r="G247" s="41">
        <f t="shared" si="5"/>
        <v>1659152</v>
      </c>
      <c r="H247" s="41">
        <f t="shared" si="5"/>
        <v>1238177.81</v>
      </c>
      <c r="I247" s="41">
        <f t="shared" si="5"/>
        <v>327469</v>
      </c>
      <c r="J247" s="41">
        <f t="shared" si="5"/>
        <v>56225</v>
      </c>
      <c r="K247" s="41">
        <f t="shared" si="5"/>
        <v>36929</v>
      </c>
      <c r="L247" s="41">
        <f t="shared" si="5"/>
        <v>6555049.8099999996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9090564</v>
      </c>
      <c r="G257" s="41">
        <f t="shared" si="8"/>
        <v>4715426</v>
      </c>
      <c r="H257" s="41">
        <f t="shared" si="8"/>
        <v>3439350</v>
      </c>
      <c r="I257" s="41">
        <f t="shared" si="8"/>
        <v>940922</v>
      </c>
      <c r="J257" s="41">
        <f t="shared" si="8"/>
        <v>134676</v>
      </c>
      <c r="K257" s="41">
        <f t="shared" si="8"/>
        <v>54712</v>
      </c>
      <c r="L257" s="41">
        <f t="shared" si="8"/>
        <v>18375650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735000</v>
      </c>
      <c r="L260" s="19">
        <f>SUM(F260:K260)</f>
        <v>735000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300575</v>
      </c>
      <c r="L261" s="19">
        <f>SUM(F261:K261)</f>
        <v>300575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50000</v>
      </c>
      <c r="L263" s="19">
        <f>SUM(F263:K263)</f>
        <v>50000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1085575</v>
      </c>
      <c r="L270" s="41">
        <f t="shared" si="9"/>
        <v>1085575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9090564</v>
      </c>
      <c r="G271" s="42">
        <f t="shared" si="11"/>
        <v>4715426</v>
      </c>
      <c r="H271" s="42">
        <f t="shared" si="11"/>
        <v>3439350</v>
      </c>
      <c r="I271" s="42">
        <f t="shared" si="11"/>
        <v>940922</v>
      </c>
      <c r="J271" s="42">
        <f t="shared" si="11"/>
        <v>134676</v>
      </c>
      <c r="K271" s="42">
        <f t="shared" si="11"/>
        <v>1140287</v>
      </c>
      <c r="L271" s="42">
        <f t="shared" si="11"/>
        <v>19461225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514764+80982</f>
        <v>595746</v>
      </c>
      <c r="G276" s="18">
        <f>156550+24347</f>
        <v>180897</v>
      </c>
      <c r="H276" s="18">
        <f>61483+1946</f>
        <v>63429</v>
      </c>
      <c r="I276" s="18">
        <f>67671+2218</f>
        <v>69889</v>
      </c>
      <c r="J276" s="18">
        <v>21960</v>
      </c>
      <c r="K276" s="18">
        <v>0</v>
      </c>
      <c r="L276" s="19">
        <f>SUM(F276:K276)</f>
        <v>931921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595746</v>
      </c>
      <c r="G290" s="42">
        <f t="shared" si="13"/>
        <v>180897</v>
      </c>
      <c r="H290" s="42">
        <f t="shared" si="13"/>
        <v>63429</v>
      </c>
      <c r="I290" s="42">
        <f t="shared" si="13"/>
        <v>69889</v>
      </c>
      <c r="J290" s="42">
        <f t="shared" si="13"/>
        <v>21960</v>
      </c>
      <c r="K290" s="42">
        <f t="shared" si="13"/>
        <v>0</v>
      </c>
      <c r="L290" s="41">
        <f t="shared" si="13"/>
        <v>931921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58138+34635</f>
        <v>92773</v>
      </c>
      <c r="G295" s="18">
        <f>24514+3679</f>
        <v>28193</v>
      </c>
      <c r="H295" s="18">
        <f>6728+18066</f>
        <v>24794</v>
      </c>
      <c r="I295" s="18">
        <f>3975+6033</f>
        <v>10008</v>
      </c>
      <c r="J295" s="18"/>
      <c r="K295" s="18"/>
      <c r="L295" s="19">
        <f>SUM(F295:K295)</f>
        <v>155768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92773</v>
      </c>
      <c r="G309" s="42">
        <f t="shared" si="15"/>
        <v>28193</v>
      </c>
      <c r="H309" s="42">
        <f t="shared" si="15"/>
        <v>24794</v>
      </c>
      <c r="I309" s="42">
        <f t="shared" si="15"/>
        <v>10008</v>
      </c>
      <c r="J309" s="42">
        <f t="shared" si="15"/>
        <v>0</v>
      </c>
      <c r="K309" s="42">
        <f t="shared" si="15"/>
        <v>0</v>
      </c>
      <c r="L309" s="41">
        <f t="shared" si="15"/>
        <v>155768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90301</f>
        <v>90301</v>
      </c>
      <c r="G314" s="18">
        <f>36746</f>
        <v>36746</v>
      </c>
      <c r="H314" s="18">
        <f>69296+48253</f>
        <v>117549</v>
      </c>
      <c r="I314" s="18">
        <v>28928</v>
      </c>
      <c r="J314" s="18">
        <v>50455</v>
      </c>
      <c r="K314" s="18"/>
      <c r="L314" s="19">
        <f>SUM(F314:K314)</f>
        <v>323979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90301</v>
      </c>
      <c r="G328" s="42">
        <f t="shared" si="17"/>
        <v>36746</v>
      </c>
      <c r="H328" s="42">
        <f t="shared" si="17"/>
        <v>117549</v>
      </c>
      <c r="I328" s="42">
        <f t="shared" si="17"/>
        <v>28928</v>
      </c>
      <c r="J328" s="42">
        <f t="shared" si="17"/>
        <v>50455</v>
      </c>
      <c r="K328" s="42">
        <f t="shared" si="17"/>
        <v>0</v>
      </c>
      <c r="L328" s="41">
        <f t="shared" si="17"/>
        <v>323979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778820</v>
      </c>
      <c r="G338" s="41">
        <f t="shared" si="20"/>
        <v>245836</v>
      </c>
      <c r="H338" s="41">
        <f t="shared" si="20"/>
        <v>205772</v>
      </c>
      <c r="I338" s="41">
        <f t="shared" si="20"/>
        <v>108825</v>
      </c>
      <c r="J338" s="41">
        <f t="shared" si="20"/>
        <v>72415</v>
      </c>
      <c r="K338" s="41">
        <f t="shared" si="20"/>
        <v>0</v>
      </c>
      <c r="L338" s="41">
        <f t="shared" si="20"/>
        <v>1411668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778820</v>
      </c>
      <c r="G352" s="41">
        <f>G338</f>
        <v>245836</v>
      </c>
      <c r="H352" s="41">
        <f>H338</f>
        <v>205772</v>
      </c>
      <c r="I352" s="41">
        <f>I338</f>
        <v>108825</v>
      </c>
      <c r="J352" s="41">
        <f>J338</f>
        <v>72415</v>
      </c>
      <c r="K352" s="47">
        <f>K338+K351</f>
        <v>0</v>
      </c>
      <c r="L352" s="41">
        <f>L338+L351</f>
        <v>1411668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60497+22285</f>
        <v>82782</v>
      </c>
      <c r="G358" s="18">
        <f>53830-790</f>
        <v>53040</v>
      </c>
      <c r="H358" s="18">
        <v>6059</v>
      </c>
      <c r="I358" s="18">
        <f>14100+18428+90826</f>
        <v>123354</v>
      </c>
      <c r="J358" s="18">
        <v>0</v>
      </c>
      <c r="K358" s="18"/>
      <c r="L358" s="13">
        <f>SUM(F358:K358)</f>
        <v>265235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55715</v>
      </c>
      <c r="G359" s="18">
        <v>9109</v>
      </c>
      <c r="H359" s="18">
        <v>3062</v>
      </c>
      <c r="I359" s="18">
        <f>16808+9435+60919</f>
        <v>87162</v>
      </c>
      <c r="J359" s="18">
        <v>0</v>
      </c>
      <c r="K359" s="18"/>
      <c r="L359" s="19">
        <f>SUM(F359:K359)</f>
        <v>155048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75778</v>
      </c>
      <c r="G360" s="18">
        <v>45926</v>
      </c>
      <c r="H360" s="18">
        <v>4473</v>
      </c>
      <c r="I360" s="18">
        <f>10722+8552+60427</f>
        <v>79701</v>
      </c>
      <c r="J360" s="18"/>
      <c r="K360" s="18"/>
      <c r="L360" s="19">
        <f>SUM(F360:K360)</f>
        <v>205878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214275</v>
      </c>
      <c r="G362" s="47">
        <f t="shared" si="22"/>
        <v>108075</v>
      </c>
      <c r="H362" s="47">
        <f t="shared" si="22"/>
        <v>13594</v>
      </c>
      <c r="I362" s="47">
        <f t="shared" si="22"/>
        <v>290217</v>
      </c>
      <c r="J362" s="47">
        <f t="shared" si="22"/>
        <v>0</v>
      </c>
      <c r="K362" s="47">
        <f t="shared" si="22"/>
        <v>0</v>
      </c>
      <c r="L362" s="47">
        <f t="shared" si="22"/>
        <v>626161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I358-F368</f>
        <v>109254</v>
      </c>
      <c r="G367" s="18">
        <f>I359-G368</f>
        <v>70354</v>
      </c>
      <c r="H367" s="18">
        <f>I360-H368</f>
        <v>68978</v>
      </c>
      <c r="I367" s="56">
        <f>SUM(F367:H367)</f>
        <v>248586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14100</v>
      </c>
      <c r="G368" s="63">
        <v>16808</v>
      </c>
      <c r="H368" s="63">
        <v>10723</v>
      </c>
      <c r="I368" s="56">
        <f>SUM(F368:H368)</f>
        <v>41631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123354</v>
      </c>
      <c r="G369" s="47">
        <f>SUM(G367:G368)</f>
        <v>87162</v>
      </c>
      <c r="H369" s="47">
        <f>SUM(H367:H368)</f>
        <v>79701</v>
      </c>
      <c r="I369" s="47">
        <f>SUM(I367:I368)</f>
        <v>290217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f>580238-961</f>
        <v>579277</v>
      </c>
      <c r="G465" s="18">
        <f>10772+84</f>
        <v>10856</v>
      </c>
      <c r="H465" s="18">
        <f>651+26337+77181</f>
        <v>104169</v>
      </c>
      <c r="I465" s="18"/>
      <c r="J465" s="18"/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20623686</v>
      </c>
      <c r="G468" s="18">
        <f>G193</f>
        <v>628236</v>
      </c>
      <c r="H468" s="18">
        <f>H193</f>
        <v>1353749</v>
      </c>
      <c r="I468" s="18">
        <f>I193</f>
        <v>0</v>
      </c>
      <c r="J468" s="18">
        <f>J193</f>
        <v>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20623686</v>
      </c>
      <c r="G470" s="53">
        <f>SUM(G468:G469)</f>
        <v>628236</v>
      </c>
      <c r="H470" s="53">
        <f>SUM(H468:H469)</f>
        <v>1353749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19461225</v>
      </c>
      <c r="G472" s="18">
        <f>L362</f>
        <v>626161</v>
      </c>
      <c r="H472" s="18">
        <f>L352</f>
        <v>1411668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19461225</v>
      </c>
      <c r="G474" s="53">
        <f>SUM(G472:G473)</f>
        <v>626161</v>
      </c>
      <c r="H474" s="53">
        <f>SUM(H472:H473)</f>
        <v>1411668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1741738</v>
      </c>
      <c r="G476" s="53">
        <f>(G465+G470)- G474</f>
        <v>12931</v>
      </c>
      <c r="H476" s="53">
        <f>(H465+H470)- H474</f>
        <v>46250</v>
      </c>
      <c r="I476" s="53">
        <f>(I465+I470)- I474</f>
        <v>0</v>
      </c>
      <c r="J476" s="53">
        <f>(J465+J470)- J474</f>
        <v>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914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14750000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7350000</v>
      </c>
      <c r="G495" s="18"/>
      <c r="H495" s="18"/>
      <c r="I495" s="18"/>
      <c r="J495" s="18"/>
      <c r="K495" s="53">
        <f>SUM(F495:J495)</f>
        <v>7350000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735000</v>
      </c>
      <c r="G497" s="18"/>
      <c r="H497" s="18"/>
      <c r="I497" s="18"/>
      <c r="J497" s="18"/>
      <c r="K497" s="53">
        <f t="shared" si="35"/>
        <v>735000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6615000</v>
      </c>
      <c r="G498" s="204"/>
      <c r="H498" s="204"/>
      <c r="I498" s="204"/>
      <c r="J498" s="204"/>
      <c r="K498" s="205">
        <f t="shared" si="35"/>
        <v>6615000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1319386</v>
      </c>
      <c r="G499" s="18"/>
      <c r="H499" s="18"/>
      <c r="I499" s="18"/>
      <c r="J499" s="18"/>
      <c r="K499" s="53">
        <f t="shared" si="35"/>
        <v>1319386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7934386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7934386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735000</v>
      </c>
      <c r="G501" s="204"/>
      <c r="H501" s="204"/>
      <c r="I501" s="204"/>
      <c r="J501" s="204"/>
      <c r="K501" s="205">
        <f t="shared" si="35"/>
        <v>735000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154533.75+138915-23560</f>
        <v>269888.75</v>
      </c>
      <c r="G502" s="18"/>
      <c r="H502" s="18"/>
      <c r="I502" s="18"/>
      <c r="J502" s="18"/>
      <c r="K502" s="53">
        <f t="shared" si="35"/>
        <v>269888.75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1004888.75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1004888.75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849951</v>
      </c>
      <c r="G521" s="18">
        <v>497231</v>
      </c>
      <c r="H521" s="18">
        <v>64436</v>
      </c>
      <c r="I521" s="18">
        <v>6946</v>
      </c>
      <c r="J521" s="18">
        <v>2991</v>
      </c>
      <c r="K521" s="18">
        <v>473</v>
      </c>
      <c r="L521" s="88">
        <f>SUM(F521:K521)</f>
        <v>1422028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354424</v>
      </c>
      <c r="G522" s="18">
        <v>219657</v>
      </c>
      <c r="H522" s="18">
        <v>154760</v>
      </c>
      <c r="I522" s="18">
        <v>1844</v>
      </c>
      <c r="J522" s="18">
        <v>0</v>
      </c>
      <c r="K522" s="18">
        <v>229</v>
      </c>
      <c r="L522" s="88">
        <f>SUM(F522:K522)</f>
        <v>730914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692511</v>
      </c>
      <c r="G523" s="18">
        <v>391363</v>
      </c>
      <c r="H523" s="18">
        <v>112352</v>
      </c>
      <c r="I523" s="18">
        <v>10591</v>
      </c>
      <c r="J523" s="18">
        <v>564</v>
      </c>
      <c r="K523" s="18">
        <v>123</v>
      </c>
      <c r="L523" s="88">
        <f>SUM(F523:K523)</f>
        <v>1207504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1896886</v>
      </c>
      <c r="G524" s="108">
        <f t="shared" ref="G524:L524" si="36">SUM(G521:G523)</f>
        <v>1108251</v>
      </c>
      <c r="H524" s="108">
        <f t="shared" si="36"/>
        <v>331548</v>
      </c>
      <c r="I524" s="108">
        <f t="shared" si="36"/>
        <v>19381</v>
      </c>
      <c r="J524" s="108">
        <f t="shared" si="36"/>
        <v>3555</v>
      </c>
      <c r="K524" s="108">
        <f t="shared" si="36"/>
        <v>825</v>
      </c>
      <c r="L524" s="89">
        <f t="shared" si="36"/>
        <v>3360446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289989</v>
      </c>
      <c r="G526" s="18">
        <v>168979</v>
      </c>
      <c r="H526" s="18"/>
      <c r="I526" s="18">
        <v>778</v>
      </c>
      <c r="J526" s="18"/>
      <c r="K526" s="18"/>
      <c r="L526" s="88">
        <f>SUM(F526:K526)</f>
        <v>459746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91062</v>
      </c>
      <c r="G527" s="18">
        <v>49435</v>
      </c>
      <c r="H527" s="18"/>
      <c r="I527" s="18">
        <v>1396</v>
      </c>
      <c r="J527" s="18">
        <v>510</v>
      </c>
      <c r="K527" s="18"/>
      <c r="L527" s="88">
        <f>SUM(F527:K527)</f>
        <v>142403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84971</v>
      </c>
      <c r="G528" s="18">
        <v>33212</v>
      </c>
      <c r="H528" s="18"/>
      <c r="I528" s="18">
        <v>1181</v>
      </c>
      <c r="J528" s="18"/>
      <c r="K528" s="18"/>
      <c r="L528" s="88">
        <f>SUM(F528:K528)</f>
        <v>119364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466022</v>
      </c>
      <c r="G529" s="89">
        <f t="shared" ref="G529:L529" si="37">SUM(G526:G528)</f>
        <v>251626</v>
      </c>
      <c r="H529" s="89">
        <f t="shared" si="37"/>
        <v>0</v>
      </c>
      <c r="I529" s="89">
        <f t="shared" si="37"/>
        <v>3355</v>
      </c>
      <c r="J529" s="89">
        <f t="shared" si="37"/>
        <v>510</v>
      </c>
      <c r="K529" s="89">
        <f t="shared" si="37"/>
        <v>0</v>
      </c>
      <c r="L529" s="89">
        <f t="shared" si="37"/>
        <v>721513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124789</v>
      </c>
      <c r="G531" s="18">
        <v>42930</v>
      </c>
      <c r="H531" s="18">
        <v>114</v>
      </c>
      <c r="I531" s="18"/>
      <c r="J531" s="18"/>
      <c r="K531" s="18">
        <v>264</v>
      </c>
      <c r="L531" s="88">
        <f>SUM(F531:K531)</f>
        <v>168097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63070</v>
      </c>
      <c r="G532" s="18">
        <v>21698</v>
      </c>
      <c r="H532" s="18">
        <v>57</v>
      </c>
      <c r="I532" s="18"/>
      <c r="J532" s="18"/>
      <c r="K532" s="18">
        <v>133</v>
      </c>
      <c r="L532" s="88">
        <f>SUM(F532:K532)</f>
        <v>84958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92128</v>
      </c>
      <c r="G533" s="18">
        <v>31693</v>
      </c>
      <c r="H533" s="18">
        <v>84</v>
      </c>
      <c r="I533" s="18">
        <v>195</v>
      </c>
      <c r="J533" s="18"/>
      <c r="K533" s="18"/>
      <c r="L533" s="88">
        <f>SUM(F533:K533)</f>
        <v>124100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279987</v>
      </c>
      <c r="G534" s="89">
        <f t="shared" ref="G534:L534" si="38">SUM(G531:G533)</f>
        <v>96321</v>
      </c>
      <c r="H534" s="89">
        <f t="shared" si="38"/>
        <v>255</v>
      </c>
      <c r="I534" s="89">
        <f t="shared" si="38"/>
        <v>195</v>
      </c>
      <c r="J534" s="89">
        <f t="shared" si="38"/>
        <v>0</v>
      </c>
      <c r="K534" s="89">
        <f t="shared" si="38"/>
        <v>397</v>
      </c>
      <c r="L534" s="89">
        <f t="shared" si="38"/>
        <v>377155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H592</f>
        <v>96733</v>
      </c>
      <c r="I541" s="18"/>
      <c r="J541" s="18"/>
      <c r="K541" s="18"/>
      <c r="L541" s="88">
        <f>SUM(F541:K541)</f>
        <v>96733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I592</f>
        <v>52125</v>
      </c>
      <c r="I542" s="18"/>
      <c r="J542" s="18"/>
      <c r="K542" s="18"/>
      <c r="L542" s="88">
        <f>SUM(F542:K542)</f>
        <v>52125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J592</f>
        <v>76140</v>
      </c>
      <c r="I543" s="18"/>
      <c r="J543" s="18"/>
      <c r="K543" s="18"/>
      <c r="L543" s="88">
        <f>SUM(F543:K543)</f>
        <v>76140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224998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224998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2642895</v>
      </c>
      <c r="G545" s="89">
        <f t="shared" ref="G545:L545" si="41">G524+G529+G534+G539+G544</f>
        <v>1456198</v>
      </c>
      <c r="H545" s="89">
        <f t="shared" si="41"/>
        <v>556801</v>
      </c>
      <c r="I545" s="89">
        <f t="shared" si="41"/>
        <v>22931</v>
      </c>
      <c r="J545" s="89">
        <f t="shared" si="41"/>
        <v>4065</v>
      </c>
      <c r="K545" s="89">
        <f t="shared" si="41"/>
        <v>1222</v>
      </c>
      <c r="L545" s="89">
        <f t="shared" si="41"/>
        <v>4684112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1422028</v>
      </c>
      <c r="G549" s="87">
        <f>L526</f>
        <v>459746</v>
      </c>
      <c r="H549" s="87">
        <f>L531</f>
        <v>168097</v>
      </c>
      <c r="I549" s="87">
        <f>L536</f>
        <v>0</v>
      </c>
      <c r="J549" s="87">
        <f>L541</f>
        <v>96733</v>
      </c>
      <c r="K549" s="87">
        <f>SUM(F549:J549)</f>
        <v>2146604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730914</v>
      </c>
      <c r="G550" s="87">
        <f>L527</f>
        <v>142403</v>
      </c>
      <c r="H550" s="87">
        <f>L532</f>
        <v>84958</v>
      </c>
      <c r="I550" s="87">
        <f>L537</f>
        <v>0</v>
      </c>
      <c r="J550" s="87">
        <f>L542</f>
        <v>52125</v>
      </c>
      <c r="K550" s="87">
        <f>SUM(F550:J550)</f>
        <v>1010400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1207504</v>
      </c>
      <c r="G551" s="87">
        <f>L528</f>
        <v>119364</v>
      </c>
      <c r="H551" s="87">
        <f>L533</f>
        <v>124100</v>
      </c>
      <c r="I551" s="87">
        <f>L538</f>
        <v>0</v>
      </c>
      <c r="J551" s="87">
        <f>L543</f>
        <v>76140</v>
      </c>
      <c r="K551" s="87">
        <f>SUM(F551:J551)</f>
        <v>1527108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3360446</v>
      </c>
      <c r="G552" s="89">
        <f t="shared" si="42"/>
        <v>721513</v>
      </c>
      <c r="H552" s="89">
        <f t="shared" si="42"/>
        <v>377155</v>
      </c>
      <c r="I552" s="89">
        <f t="shared" si="42"/>
        <v>0</v>
      </c>
      <c r="J552" s="89">
        <f t="shared" si="42"/>
        <v>224998</v>
      </c>
      <c r="K552" s="89">
        <f t="shared" si="42"/>
        <v>4684112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35026</v>
      </c>
      <c r="G579" s="18"/>
      <c r="H579" s="18"/>
      <c r="I579" s="87">
        <f t="shared" si="47"/>
        <v>35026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41860-F579</f>
        <v>6834</v>
      </c>
      <c r="G582" s="18">
        <v>151618</v>
      </c>
      <c r="H582" s="18">
        <v>106319</v>
      </c>
      <c r="I582" s="87">
        <f t="shared" si="47"/>
        <v>264771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8073</v>
      </c>
      <c r="I584" s="87">
        <f t="shared" si="47"/>
        <v>8073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171417</v>
      </c>
      <c r="I591" s="18">
        <v>86636</v>
      </c>
      <c r="J591" s="18">
        <v>126551</v>
      </c>
      <c r="K591" s="104">
        <f t="shared" ref="K591:K597" si="48">SUM(H591:J591)</f>
        <v>384604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-6400+103133</f>
        <v>96733</v>
      </c>
      <c r="I592" s="18">
        <v>52125</v>
      </c>
      <c r="J592" s="18">
        <v>76140</v>
      </c>
      <c r="K592" s="104">
        <f t="shared" si="48"/>
        <v>224998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44495</v>
      </c>
      <c r="K593" s="104">
        <f t="shared" si="48"/>
        <v>44495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>
        <f>481.44</f>
        <v>481.44</v>
      </c>
      <c r="J594" s="18">
        <f>30570.72+0.29</f>
        <v>30571.010000000002</v>
      </c>
      <c r="K594" s="104">
        <f t="shared" si="48"/>
        <v>31052.45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11552.35+1277.65</f>
        <v>12830</v>
      </c>
      <c r="I595" s="18">
        <v>23333.75</v>
      </c>
      <c r="J595" s="18">
        <v>8792.7999999999993</v>
      </c>
      <c r="K595" s="104">
        <f t="shared" si="48"/>
        <v>44956.55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280980</v>
      </c>
      <c r="I598" s="108">
        <f>SUM(I591:I597)</f>
        <v>162576.19</v>
      </c>
      <c r="J598" s="108">
        <f>SUM(J591:J597)</f>
        <v>286549.81</v>
      </c>
      <c r="K598" s="108">
        <f>SUM(K591:K597)</f>
        <v>730106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J211+J290</f>
        <v>69919</v>
      </c>
      <c r="I604" s="18">
        <f>J229+J309</f>
        <v>30492</v>
      </c>
      <c r="J604" s="18">
        <f>J247+J328</f>
        <v>106680</v>
      </c>
      <c r="K604" s="104">
        <f>SUM(H604:J604)</f>
        <v>207091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69919</v>
      </c>
      <c r="I605" s="108">
        <f>SUM(I602:I604)</f>
        <v>30492</v>
      </c>
      <c r="J605" s="108">
        <f>SUM(J602:J604)</f>
        <v>106680</v>
      </c>
      <c r="K605" s="108">
        <f>SUM(K602:K604)</f>
        <v>207091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1988404</v>
      </c>
      <c r="H617" s="109">
        <f>SUM(F52)</f>
        <v>1988404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35144</v>
      </c>
      <c r="H618" s="109">
        <f>SUM(G52)</f>
        <v>35144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274543</v>
      </c>
      <c r="H619" s="109">
        <f>SUM(H52)</f>
        <v>274543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0</v>
      </c>
      <c r="H621" s="109">
        <f>SUM(J52)</f>
        <v>0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1741738</v>
      </c>
      <c r="H622" s="109">
        <f>F476</f>
        <v>1741738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12931</v>
      </c>
      <c r="H623" s="109">
        <f>G476</f>
        <v>12931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46250</v>
      </c>
      <c r="H624" s="109">
        <f>H476</f>
        <v>46250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20623686</v>
      </c>
      <c r="H627" s="104">
        <f>SUM(F468)</f>
        <v>20623686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628236</v>
      </c>
      <c r="H628" s="104">
        <f>SUM(G468)</f>
        <v>628236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1353749</v>
      </c>
      <c r="H629" s="104">
        <f>SUM(H468)</f>
        <v>1353749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19461225</v>
      </c>
      <c r="H632" s="104">
        <f>SUM(F472)</f>
        <v>19461225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1411668</v>
      </c>
      <c r="H633" s="104">
        <f>SUM(H472)</f>
        <v>1411668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290217</v>
      </c>
      <c r="H634" s="104">
        <f>I369</f>
        <v>290217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626161</v>
      </c>
      <c r="H635" s="104">
        <f>SUM(G472)</f>
        <v>626161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730106</v>
      </c>
      <c r="H647" s="104">
        <f>L208+L226+L244</f>
        <v>730106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207091</v>
      </c>
      <c r="H648" s="104">
        <f>(J257+J338)-(J255+J336)</f>
        <v>207091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280980</v>
      </c>
      <c r="H649" s="104">
        <f>H598</f>
        <v>280980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162576.19</v>
      </c>
      <c r="H650" s="104">
        <f>I598</f>
        <v>162576.19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286549.81</v>
      </c>
      <c r="H651" s="104">
        <f>J598</f>
        <v>286549.81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50000</v>
      </c>
      <c r="H652" s="104">
        <f>K263+K345</f>
        <v>50000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8695029</v>
      </c>
      <c r="G660" s="19">
        <f>(L229+L309+L359)</f>
        <v>4633543.1900000004</v>
      </c>
      <c r="H660" s="19">
        <f>(L247+L328+L360)</f>
        <v>7084906.8099999996</v>
      </c>
      <c r="I660" s="19">
        <f>SUM(F660:H660)</f>
        <v>20413479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91915.031253942681</v>
      </c>
      <c r="G661" s="19">
        <f>(L359/IF(SUM(L358:L360)=0,1,SUM(L358:L360))*(SUM(G97:G110)))</f>
        <v>53730.622903694093</v>
      </c>
      <c r="H661" s="19">
        <f>(L360/IF(SUM(L358:L360)=0,1,SUM(L358:L360))*(SUM(G97:G110)))</f>
        <v>71345.345842363226</v>
      </c>
      <c r="I661" s="19">
        <f>SUM(F661:H661)</f>
        <v>216991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280980</v>
      </c>
      <c r="G662" s="19">
        <f>(L226+L306)-(J226+J306)</f>
        <v>162576.19</v>
      </c>
      <c r="H662" s="19">
        <f>(L244+L325)-(J244+J325)</f>
        <v>286549.81</v>
      </c>
      <c r="I662" s="19">
        <f>SUM(F662:H662)</f>
        <v>730106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111779</v>
      </c>
      <c r="G663" s="199">
        <f>SUM(G575:G587)+SUM(I602:I604)+L612</f>
        <v>182110</v>
      </c>
      <c r="H663" s="199">
        <f>SUM(H575:H587)+SUM(J602:J604)+L613</f>
        <v>221072</v>
      </c>
      <c r="I663" s="19">
        <f>SUM(F663:H663)</f>
        <v>514961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8210354.9687460577</v>
      </c>
      <c r="G664" s="19">
        <f>G660-SUM(G661:G663)</f>
        <v>4235126.3770963065</v>
      </c>
      <c r="H664" s="19">
        <f>H660-SUM(H661:H663)</f>
        <v>6505939.6541576367</v>
      </c>
      <c r="I664" s="19">
        <f>I660-SUM(I661:I663)</f>
        <v>18951421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534.38</v>
      </c>
      <c r="G665" s="248">
        <v>281.2</v>
      </c>
      <c r="H665" s="248">
        <v>407.38</v>
      </c>
      <c r="I665" s="19">
        <f>SUM(F665:H665)</f>
        <v>1222.96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15364.26</v>
      </c>
      <c r="G667" s="19">
        <f>ROUND(G664/G665,2)</f>
        <v>15060.9</v>
      </c>
      <c r="H667" s="19">
        <f>ROUND(H664/H665,2)</f>
        <v>15970.2</v>
      </c>
      <c r="I667" s="19">
        <f>ROUND(I664/I665,2)</f>
        <v>15496.35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-7.2</v>
      </c>
      <c r="I670" s="19">
        <f>SUM(F670:H670)</f>
        <v>-7.2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15364.26</v>
      </c>
      <c r="G672" s="19">
        <f>ROUND((G664+G669)/(G665+G670),2)</f>
        <v>15060.9</v>
      </c>
      <c r="H672" s="19">
        <f>ROUND((H664+H669)/(H665+H670),2)</f>
        <v>16257.53</v>
      </c>
      <c r="I672" s="19">
        <f>ROUND((I664+I669)/(I665+I670),2)</f>
        <v>15588.13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HILLSBORO-DEERING CO-OPERATIVE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5566452</v>
      </c>
      <c r="C9" s="229">
        <f>'DOE25'!G197+'DOE25'!G215+'DOE25'!G233+'DOE25'!G276+'DOE25'!G295+'DOE25'!G314</f>
        <v>2575631</v>
      </c>
    </row>
    <row r="10" spans="1:3" x14ac:dyDescent="0.2">
      <c r="A10" t="s">
        <v>779</v>
      </c>
      <c r="B10" s="240">
        <f>4669548+676852</f>
        <v>5346400</v>
      </c>
      <c r="C10" s="240">
        <f>1923491+203054</f>
        <v>2126545</v>
      </c>
    </row>
    <row r="11" spans="1:3" x14ac:dyDescent="0.2">
      <c r="A11" t="s">
        <v>780</v>
      </c>
      <c r="B11" s="240">
        <f>31726+20954</f>
        <v>52680</v>
      </c>
      <c r="C11" s="240">
        <f>334011+21105</f>
        <v>355116</v>
      </c>
    </row>
    <row r="12" spans="1:3" x14ac:dyDescent="0.2">
      <c r="A12" t="s">
        <v>781</v>
      </c>
      <c r="B12" s="240">
        <f>86358+81014</f>
        <v>167372</v>
      </c>
      <c r="C12" s="240">
        <f>72293+21677</f>
        <v>93970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5566452</v>
      </c>
      <c r="C13" s="231">
        <f>SUM(C10:C12)</f>
        <v>2575631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2068104</v>
      </c>
      <c r="C18" s="229">
        <f>'DOE25'!G198+'DOE25'!G216+'DOE25'!G234+'DOE25'!G277+'DOE25'!G296+'DOE25'!G315</f>
        <v>1171724</v>
      </c>
    </row>
    <row r="19" spans="1:3" x14ac:dyDescent="0.2">
      <c r="A19" t="s">
        <v>779</v>
      </c>
      <c r="B19" s="240">
        <v>1189895</v>
      </c>
      <c r="C19" s="240">
        <v>847694</v>
      </c>
    </row>
    <row r="20" spans="1:3" x14ac:dyDescent="0.2">
      <c r="A20" t="s">
        <v>780</v>
      </c>
      <c r="B20" s="240">
        <v>600289</v>
      </c>
      <c r="C20" s="240">
        <v>258498</v>
      </c>
    </row>
    <row r="21" spans="1:3" x14ac:dyDescent="0.2">
      <c r="A21" t="s">
        <v>781</v>
      </c>
      <c r="B21" s="240">
        <v>277920</v>
      </c>
      <c r="C21" s="240">
        <v>65532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2068104</v>
      </c>
      <c r="C22" s="231">
        <f>SUM(C19:C21)</f>
        <v>1171724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122963</v>
      </c>
      <c r="C36" s="235">
        <f>'DOE25'!G200+'DOE25'!G218+'DOE25'!G236+'DOE25'!G279+'DOE25'!G298+'DOE25'!G317</f>
        <v>26405</v>
      </c>
    </row>
    <row r="37" spans="1:3" x14ac:dyDescent="0.2">
      <c r="A37" t="s">
        <v>779</v>
      </c>
      <c r="B37" s="240">
        <v>61388</v>
      </c>
      <c r="C37" s="240">
        <v>21687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v>61575</v>
      </c>
      <c r="C39" s="240">
        <v>4718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122963</v>
      </c>
      <c r="C40" s="231">
        <f>SUM(C37:C39)</f>
        <v>26405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HILLSBORO-DEERING CO-OPERATIVE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11193535</v>
      </c>
      <c r="D5" s="20">
        <f>SUM('DOE25'!L197:L200)+SUM('DOE25'!L215:L218)+SUM('DOE25'!L233:L236)-F5-G5</f>
        <v>11141623</v>
      </c>
      <c r="E5" s="243"/>
      <c r="F5" s="255">
        <f>SUM('DOE25'!J197:J200)+SUM('DOE25'!J215:J218)+SUM('DOE25'!J233:J236)</f>
        <v>24116</v>
      </c>
      <c r="G5" s="53">
        <f>SUM('DOE25'!K197:K200)+SUM('DOE25'!K215:K218)+SUM('DOE25'!K233:K236)</f>
        <v>27796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1462766</v>
      </c>
      <c r="D6" s="20">
        <f>'DOE25'!L202+'DOE25'!L220+'DOE25'!L238-F6-G6</f>
        <v>1458873</v>
      </c>
      <c r="E6" s="243"/>
      <c r="F6" s="255">
        <f>'DOE25'!J202+'DOE25'!J220+'DOE25'!J238</f>
        <v>3893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943036</v>
      </c>
      <c r="D7" s="20">
        <f>'DOE25'!L203+'DOE25'!L221+'DOE25'!L239-F7-G7</f>
        <v>851231</v>
      </c>
      <c r="E7" s="243"/>
      <c r="F7" s="255">
        <f>'DOE25'!J203+'DOE25'!J221+'DOE25'!J239</f>
        <v>91419</v>
      </c>
      <c r="G7" s="53">
        <f>'DOE25'!K203+'DOE25'!K221+'DOE25'!K239</f>
        <v>386</v>
      </c>
      <c r="H7" s="259"/>
    </row>
    <row r="8" spans="1:9" x14ac:dyDescent="0.2">
      <c r="A8" s="32">
        <v>2300</v>
      </c>
      <c r="B8" t="s">
        <v>802</v>
      </c>
      <c r="C8" s="245">
        <f t="shared" si="0"/>
        <v>882719</v>
      </c>
      <c r="D8" s="243"/>
      <c r="E8" s="20">
        <f>'DOE25'!L204+'DOE25'!L222+'DOE25'!L240-F8-G8-D9-D11</f>
        <v>870274</v>
      </c>
      <c r="F8" s="255">
        <f>'DOE25'!J204+'DOE25'!J222+'DOE25'!J240</f>
        <v>0</v>
      </c>
      <c r="G8" s="53">
        <f>'DOE25'!K204+'DOE25'!K222+'DOE25'!K240</f>
        <v>12445</v>
      </c>
      <c r="H8" s="259"/>
    </row>
    <row r="9" spans="1:9" x14ac:dyDescent="0.2">
      <c r="A9" s="32">
        <v>2310</v>
      </c>
      <c r="B9" t="s">
        <v>818</v>
      </c>
      <c r="C9" s="245">
        <f t="shared" si="0"/>
        <v>21856</v>
      </c>
      <c r="D9" s="244">
        <v>21856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40100</v>
      </c>
      <c r="D10" s="243"/>
      <c r="E10" s="244">
        <v>40100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205927</v>
      </c>
      <c r="D11" s="244">
        <v>205927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983427</v>
      </c>
      <c r="D12" s="20">
        <f>'DOE25'!L205+'DOE25'!L223+'DOE25'!L241-F12-G12</f>
        <v>968499</v>
      </c>
      <c r="E12" s="243"/>
      <c r="F12" s="255">
        <f>'DOE25'!J205+'DOE25'!J223+'DOE25'!J241</f>
        <v>843</v>
      </c>
      <c r="G12" s="53">
        <f>'DOE25'!K205+'DOE25'!K223+'DOE25'!K241</f>
        <v>14085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8045</v>
      </c>
      <c r="D13" s="243"/>
      <c r="E13" s="20">
        <f>'DOE25'!L206+'DOE25'!L224+'DOE25'!L242-F13-G13</f>
        <v>8045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1944233</v>
      </c>
      <c r="D14" s="20">
        <f>'DOE25'!L207+'DOE25'!L225+'DOE25'!L243-F14-G14</f>
        <v>1929828</v>
      </c>
      <c r="E14" s="243"/>
      <c r="F14" s="255">
        <f>'DOE25'!J207+'DOE25'!J225+'DOE25'!J243</f>
        <v>14405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730106</v>
      </c>
      <c r="D15" s="20">
        <f>'DOE25'!L208+'DOE25'!L226+'DOE25'!L244-F15-G15</f>
        <v>730106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1035575</v>
      </c>
      <c r="D25" s="243"/>
      <c r="E25" s="243"/>
      <c r="F25" s="258"/>
      <c r="G25" s="256"/>
      <c r="H25" s="257">
        <f>'DOE25'!L260+'DOE25'!L261+'DOE25'!L341+'DOE25'!L342</f>
        <v>1035575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377575</v>
      </c>
      <c r="D29" s="20">
        <f>'DOE25'!L358+'DOE25'!L359+'DOE25'!L360-'DOE25'!I367-F29-G29</f>
        <v>377575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1411668</v>
      </c>
      <c r="D31" s="20">
        <f>'DOE25'!L290+'DOE25'!L309+'DOE25'!L328+'DOE25'!L333+'DOE25'!L334+'DOE25'!L335-F31-G31</f>
        <v>1339253</v>
      </c>
      <c r="E31" s="243"/>
      <c r="F31" s="255">
        <f>'DOE25'!J290+'DOE25'!J309+'DOE25'!J328+'DOE25'!J333+'DOE25'!J334+'DOE25'!J335</f>
        <v>72415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19024771</v>
      </c>
      <c r="E33" s="246">
        <f>SUM(E5:E31)</f>
        <v>918419</v>
      </c>
      <c r="F33" s="246">
        <f>SUM(F5:F31)</f>
        <v>207091</v>
      </c>
      <c r="G33" s="246">
        <f>SUM(G5:G31)</f>
        <v>54712</v>
      </c>
      <c r="H33" s="246">
        <f>SUM(H5:H31)</f>
        <v>1035575</v>
      </c>
    </row>
    <row r="35" spans="2:8" ht="12" thickBot="1" x14ac:dyDescent="0.25">
      <c r="B35" s="253" t="s">
        <v>847</v>
      </c>
      <c r="D35" s="254">
        <f>E33</f>
        <v>918419</v>
      </c>
      <c r="E35" s="249"/>
    </row>
    <row r="36" spans="2:8" ht="12" thickTop="1" x14ac:dyDescent="0.2">
      <c r="B36" t="s">
        <v>815</v>
      </c>
      <c r="D36" s="20">
        <f>D33</f>
        <v>19024771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HILLSBORO-DEERING CO-OPERATIVE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1924230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64174</v>
      </c>
      <c r="D11" s="95">
        <f>'DOE25'!G12</f>
        <v>0</v>
      </c>
      <c r="E11" s="95">
        <f>'DOE25'!H12</f>
        <v>30164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22213</v>
      </c>
      <c r="E12" s="95">
        <f>'DOE25'!H13</f>
        <v>244379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12931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1988404</v>
      </c>
      <c r="D18" s="41">
        <f>SUM(D8:D17)</f>
        <v>35144</v>
      </c>
      <c r="E18" s="41">
        <f>SUM(E8:E17)</f>
        <v>274543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21408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216833</v>
      </c>
      <c r="D23" s="95">
        <f>'DOE25'!G24</f>
        <v>805</v>
      </c>
      <c r="E23" s="95">
        <f>'DOE25'!H24</f>
        <v>4814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29833</v>
      </c>
      <c r="D29" s="95">
        <f>'DOE25'!G30</f>
        <v>0</v>
      </c>
      <c r="E29" s="95">
        <f>'DOE25'!H30</f>
        <v>223479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246666</v>
      </c>
      <c r="D31" s="41">
        <f>SUM(D21:D30)</f>
        <v>22213</v>
      </c>
      <c r="E31" s="41">
        <f>SUM(E21:E30)</f>
        <v>228293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12931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270132</v>
      </c>
      <c r="D48" s="95">
        <f>'DOE25'!G49</f>
        <v>0</v>
      </c>
      <c r="E48" s="95">
        <f>'DOE25'!H49</f>
        <v>46250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1421606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1741738</v>
      </c>
      <c r="D50" s="41">
        <f>SUM(D34:D49)</f>
        <v>12931</v>
      </c>
      <c r="E50" s="41">
        <f>SUM(E34:E49)</f>
        <v>46250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1988404</v>
      </c>
      <c r="D51" s="41">
        <f>D50+D31</f>
        <v>35144</v>
      </c>
      <c r="E51" s="41">
        <f>E50+E31</f>
        <v>274543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10004532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1727135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3315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216991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302113</v>
      </c>
      <c r="D61" s="95">
        <f>SUM('DOE25'!G98:G110)</f>
        <v>0</v>
      </c>
      <c r="E61" s="95">
        <f>SUM('DOE25'!H98:H110)</f>
        <v>167725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2032563</v>
      </c>
      <c r="D62" s="130">
        <f>SUM(D57:D61)</f>
        <v>216991</v>
      </c>
      <c r="E62" s="130">
        <f>SUM(E57:E61)</f>
        <v>167725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12037095</v>
      </c>
      <c r="D63" s="22">
        <f>D56+D62</f>
        <v>216991</v>
      </c>
      <c r="E63" s="22">
        <f>E56+E62</f>
        <v>167725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6215136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1538374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7753510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368556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237935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20824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5406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627315</v>
      </c>
      <c r="D78" s="130">
        <f>SUM(D72:D77)</f>
        <v>5406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8380825</v>
      </c>
      <c r="D81" s="130">
        <f>SUM(D79:D80)+D78+D70</f>
        <v>5406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205766</v>
      </c>
      <c r="D88" s="95">
        <f>SUM('DOE25'!G153:G161)</f>
        <v>355839</v>
      </c>
      <c r="E88" s="95">
        <f>SUM('DOE25'!H153:H161)</f>
        <v>1186024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205766</v>
      </c>
      <c r="D91" s="131">
        <f>SUM(D85:D90)</f>
        <v>355839</v>
      </c>
      <c r="E91" s="131">
        <f>SUM(E85:E90)</f>
        <v>1186024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50000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50000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20623686</v>
      </c>
      <c r="D104" s="86">
        <f>D63+D81+D91+D103</f>
        <v>628236</v>
      </c>
      <c r="E104" s="86">
        <f>E63+E81+E91+E103</f>
        <v>1353749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7350723</v>
      </c>
      <c r="D109" s="24" t="s">
        <v>289</v>
      </c>
      <c r="E109" s="95">
        <f>('DOE25'!L276)+('DOE25'!L295)+('DOE25'!L314)</f>
        <v>1411668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3595985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8073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238754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11193535</v>
      </c>
      <c r="D115" s="86">
        <f>SUM(D109:D114)</f>
        <v>0</v>
      </c>
      <c r="E115" s="86">
        <f>SUM(E109:E114)</f>
        <v>1411668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1462766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943036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1110502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983427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8045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1944233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730106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626161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7182115</v>
      </c>
      <c r="D128" s="86">
        <f>SUM(D118:D127)</f>
        <v>626161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735000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300575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50000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1085575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19461225</v>
      </c>
      <c r="D145" s="86">
        <f>(D115+D128+D144)</f>
        <v>626161</v>
      </c>
      <c r="E145" s="86">
        <f>(E115+E128+E144)</f>
        <v>1411668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14750000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7350000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7350000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735000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735000</v>
      </c>
    </row>
    <row r="159" spans="1:9" x14ac:dyDescent="0.2">
      <c r="A159" s="22" t="s">
        <v>35</v>
      </c>
      <c r="B159" s="137">
        <f>'DOE25'!F498</f>
        <v>6615000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6615000</v>
      </c>
    </row>
    <row r="160" spans="1:9" x14ac:dyDescent="0.2">
      <c r="A160" s="22" t="s">
        <v>36</v>
      </c>
      <c r="B160" s="137">
        <f>'DOE25'!F499</f>
        <v>1319386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1319386</v>
      </c>
    </row>
    <row r="161" spans="1:7" x14ac:dyDescent="0.2">
      <c r="A161" s="22" t="s">
        <v>37</v>
      </c>
      <c r="B161" s="137">
        <f>'DOE25'!F500</f>
        <v>7934386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7934386</v>
      </c>
    </row>
    <row r="162" spans="1:7" x14ac:dyDescent="0.2">
      <c r="A162" s="22" t="s">
        <v>38</v>
      </c>
      <c r="B162" s="137">
        <f>'DOE25'!F501</f>
        <v>735000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735000</v>
      </c>
    </row>
    <row r="163" spans="1:7" x14ac:dyDescent="0.2">
      <c r="A163" s="22" t="s">
        <v>39</v>
      </c>
      <c r="B163" s="137">
        <f>'DOE25'!F502</f>
        <v>269888.75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269888.75</v>
      </c>
    </row>
    <row r="164" spans="1:7" x14ac:dyDescent="0.2">
      <c r="A164" s="22" t="s">
        <v>246</v>
      </c>
      <c r="B164" s="137">
        <f>'DOE25'!F503</f>
        <v>1004888.75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1004888.75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HILLSBORO-DEERING CO-OPERATIVE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15364</v>
      </c>
    </row>
    <row r="5" spans="1:4" x14ac:dyDescent="0.2">
      <c r="B5" t="s">
        <v>704</v>
      </c>
      <c r="C5" s="179">
        <f>IF('DOE25'!G665+'DOE25'!G670=0,0,ROUND('DOE25'!G672,0))</f>
        <v>15061</v>
      </c>
    </row>
    <row r="6" spans="1:4" x14ac:dyDescent="0.2">
      <c r="B6" t="s">
        <v>62</v>
      </c>
      <c r="C6" s="179">
        <f>IF('DOE25'!H665+'DOE25'!H670=0,0,ROUND('DOE25'!H672,0))</f>
        <v>16258</v>
      </c>
    </row>
    <row r="7" spans="1:4" x14ac:dyDescent="0.2">
      <c r="B7" t="s">
        <v>705</v>
      </c>
      <c r="C7" s="179">
        <f>IF('DOE25'!I665+'DOE25'!I670=0,0,ROUND('DOE25'!I672,0))</f>
        <v>15588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8762391</v>
      </c>
      <c r="D10" s="182">
        <f>ROUND((C10/$C$28)*100,1)</f>
        <v>42.7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3595985</v>
      </c>
      <c r="D11" s="182">
        <f>ROUND((C11/$C$28)*100,1)</f>
        <v>17.5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8073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238754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1462766</v>
      </c>
      <c r="D15" s="182">
        <f t="shared" ref="D15:D27" si="0">ROUND((C15/$C$28)*100,1)</f>
        <v>7.1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943036</v>
      </c>
      <c r="D16" s="182">
        <f t="shared" si="0"/>
        <v>4.5999999999999996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1110502</v>
      </c>
      <c r="D17" s="182">
        <f t="shared" si="0"/>
        <v>5.4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983427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8045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1944233</v>
      </c>
      <c r="D20" s="182">
        <f t="shared" si="0"/>
        <v>9.5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730106</v>
      </c>
      <c r="D21" s="182">
        <f t="shared" si="0"/>
        <v>3.6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300575</v>
      </c>
      <c r="D25" s="182">
        <f t="shared" si="0"/>
        <v>1.5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409170</v>
      </c>
      <c r="D27" s="182">
        <f t="shared" si="0"/>
        <v>2</v>
      </c>
    </row>
    <row r="28" spans="1:4" x14ac:dyDescent="0.2">
      <c r="B28" s="187" t="s">
        <v>723</v>
      </c>
      <c r="C28" s="180">
        <f>SUM(C10:C27)</f>
        <v>20497063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20497063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735000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10004532</v>
      </c>
      <c r="D35" s="182">
        <f t="shared" ref="D35:D40" si="1">ROUND((C35/$C$41)*100,1)</f>
        <v>44.8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2200288</v>
      </c>
      <c r="D36" s="182">
        <f t="shared" si="1"/>
        <v>9.8000000000000007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7753510</v>
      </c>
      <c r="D37" s="182">
        <f t="shared" si="1"/>
        <v>34.700000000000003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632721</v>
      </c>
      <c r="D38" s="182">
        <f t="shared" si="1"/>
        <v>2.8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1747629</v>
      </c>
      <c r="D39" s="182">
        <f t="shared" si="1"/>
        <v>7.8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22338680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HILLSBORO-DEERING CO-OPERATIVE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24</v>
      </c>
      <c r="C4" s="285" t="s">
        <v>911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3</v>
      </c>
      <c r="B6" s="219">
        <v>23</v>
      </c>
      <c r="C6" s="285" t="s">
        <v>913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2014-10-03T14:49:05Z</cp:lastPrinted>
  <dcterms:created xsi:type="dcterms:W3CDTF">1997-12-04T19:04:30Z</dcterms:created>
  <dcterms:modified xsi:type="dcterms:W3CDTF">2014-12-05T16:13:12Z</dcterms:modified>
</cp:coreProperties>
</file>