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0" yWindow="0" windowWidth="18300" windowHeight="993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10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D17" i="13" s="1"/>
  <c r="C17" i="13" s="1"/>
  <c r="G17" i="13"/>
  <c r="L251" i="1"/>
  <c r="F18" i="13"/>
  <c r="G18" i="13"/>
  <c r="L252" i="1"/>
  <c r="F19" i="13"/>
  <c r="G19" i="13"/>
  <c r="L253" i="1"/>
  <c r="D19" i="13" s="1"/>
  <c r="C19" i="13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L284" i="1"/>
  <c r="L285" i="1"/>
  <c r="L286" i="1"/>
  <c r="L287" i="1"/>
  <c r="L288" i="1"/>
  <c r="L295" i="1"/>
  <c r="L296" i="1"/>
  <c r="E110" i="2" s="1"/>
  <c r="L297" i="1"/>
  <c r="L298" i="1"/>
  <c r="L309" i="1" s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132" i="2" s="1"/>
  <c r="L341" i="1"/>
  <c r="E131" i="2" s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E85" i="2" s="1"/>
  <c r="H162" i="1"/>
  <c r="I147" i="1"/>
  <c r="I162" i="1"/>
  <c r="L250" i="1"/>
  <c r="L332" i="1"/>
  <c r="L254" i="1"/>
  <c r="C25" i="10"/>
  <c r="L268" i="1"/>
  <c r="C142" i="2" s="1"/>
  <c r="L269" i="1"/>
  <c r="L349" i="1"/>
  <c r="L350" i="1"/>
  <c r="E143" i="2" s="1"/>
  <c r="I665" i="1"/>
  <c r="I670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3" i="2"/>
  <c r="E113" i="2"/>
  <c r="D115" i="2"/>
  <c r="F115" i="2"/>
  <c r="G115" i="2"/>
  <c r="E118" i="2"/>
  <c r="E120" i="2"/>
  <c r="E123" i="2"/>
  <c r="E124" i="2"/>
  <c r="F128" i="2"/>
  <c r="G128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G625" i="1" s="1"/>
  <c r="F177" i="1"/>
  <c r="I177" i="1"/>
  <c r="F183" i="1"/>
  <c r="G183" i="1"/>
  <c r="G192" i="1" s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F408" i="1" s="1"/>
  <c r="H643" i="1" s="1"/>
  <c r="G407" i="1"/>
  <c r="H407" i="1"/>
  <c r="I407" i="1"/>
  <c r="G408" i="1"/>
  <c r="H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F460" i="1"/>
  <c r="G460" i="1"/>
  <c r="G461" i="1" s="1"/>
  <c r="H640" i="1" s="1"/>
  <c r="H460" i="1"/>
  <c r="H461" i="1"/>
  <c r="H641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5" i="1" s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G644" i="1"/>
  <c r="G645" i="1"/>
  <c r="G650" i="1"/>
  <c r="G651" i="1"/>
  <c r="G652" i="1"/>
  <c r="H652" i="1"/>
  <c r="G653" i="1"/>
  <c r="H653" i="1"/>
  <c r="G654" i="1"/>
  <c r="H654" i="1"/>
  <c r="H655" i="1"/>
  <c r="F78" i="2"/>
  <c r="D50" i="2"/>
  <c r="F18" i="2"/>
  <c r="G62" i="2"/>
  <c r="E78" i="2"/>
  <c r="I169" i="1"/>
  <c r="I476" i="1"/>
  <c r="H625" i="1" s="1"/>
  <c r="J140" i="1"/>
  <c r="F571" i="1"/>
  <c r="H140" i="1"/>
  <c r="G476" i="1" l="1"/>
  <c r="H623" i="1" s="1"/>
  <c r="J623" i="1" s="1"/>
  <c r="A40" i="12"/>
  <c r="H338" i="1"/>
  <c r="H352" i="1" s="1"/>
  <c r="E119" i="2"/>
  <c r="E128" i="2" s="1"/>
  <c r="G661" i="1"/>
  <c r="H112" i="1"/>
  <c r="E62" i="2"/>
  <c r="E63" i="2" s="1"/>
  <c r="I552" i="1"/>
  <c r="J625" i="1"/>
  <c r="J655" i="1"/>
  <c r="H476" i="1"/>
  <c r="H624" i="1" s="1"/>
  <c r="L382" i="1"/>
  <c r="G636" i="1" s="1"/>
  <c r="J636" i="1" s="1"/>
  <c r="K338" i="1"/>
  <c r="K352" i="1" s="1"/>
  <c r="E103" i="2"/>
  <c r="D31" i="2"/>
  <c r="D51" i="2" s="1"/>
  <c r="J552" i="1"/>
  <c r="L351" i="1"/>
  <c r="H169" i="1"/>
  <c r="H193" i="1" s="1"/>
  <c r="G629" i="1" s="1"/>
  <c r="J629" i="1" s="1"/>
  <c r="C35" i="10"/>
  <c r="L362" i="1"/>
  <c r="G635" i="1" s="1"/>
  <c r="J635" i="1" s="1"/>
  <c r="L328" i="1"/>
  <c r="E122" i="2"/>
  <c r="L290" i="1"/>
  <c r="D29" i="13"/>
  <c r="C29" i="13" s="1"/>
  <c r="C114" i="2"/>
  <c r="D7" i="13"/>
  <c r="C7" i="13" s="1"/>
  <c r="C19" i="10"/>
  <c r="C120" i="2"/>
  <c r="J645" i="1"/>
  <c r="F338" i="1"/>
  <c r="F352" i="1" s="1"/>
  <c r="C91" i="2"/>
  <c r="E121" i="2"/>
  <c r="F81" i="2"/>
  <c r="K545" i="1"/>
  <c r="F476" i="1"/>
  <c r="H622" i="1" s="1"/>
  <c r="J622" i="1" s="1"/>
  <c r="F461" i="1"/>
  <c r="H639" i="1" s="1"/>
  <c r="J641" i="1"/>
  <c r="C70" i="2"/>
  <c r="D62" i="2"/>
  <c r="D63" i="2" s="1"/>
  <c r="H662" i="1"/>
  <c r="E125" i="2"/>
  <c r="K605" i="1"/>
  <c r="G648" i="1" s="1"/>
  <c r="I571" i="1"/>
  <c r="L570" i="1"/>
  <c r="C78" i="2"/>
  <c r="D81" i="2"/>
  <c r="E31" i="2"/>
  <c r="F661" i="1"/>
  <c r="C26" i="10"/>
  <c r="H552" i="1"/>
  <c r="K550" i="1"/>
  <c r="G552" i="1"/>
  <c r="L534" i="1"/>
  <c r="K551" i="1"/>
  <c r="K549" i="1"/>
  <c r="F552" i="1"/>
  <c r="H571" i="1"/>
  <c r="J639" i="1"/>
  <c r="L427" i="1"/>
  <c r="L434" i="1" s="1"/>
  <c r="G638" i="1" s="1"/>
  <c r="J638" i="1" s="1"/>
  <c r="H408" i="1"/>
  <c r="H644" i="1" s="1"/>
  <c r="J644" i="1" s="1"/>
  <c r="J476" i="1"/>
  <c r="H626" i="1" s="1"/>
  <c r="E16" i="13"/>
  <c r="C16" i="13" s="1"/>
  <c r="J651" i="1"/>
  <c r="D15" i="13"/>
  <c r="C15" i="13" s="1"/>
  <c r="J257" i="1"/>
  <c r="J271" i="1" s="1"/>
  <c r="C20" i="10"/>
  <c r="D14" i="13"/>
  <c r="C14" i="13" s="1"/>
  <c r="C123" i="2"/>
  <c r="C21" i="10"/>
  <c r="C15" i="10"/>
  <c r="C119" i="2"/>
  <c r="C13" i="10"/>
  <c r="C111" i="2"/>
  <c r="C110" i="2"/>
  <c r="H257" i="1"/>
  <c r="H271" i="1" s="1"/>
  <c r="L247" i="1"/>
  <c r="A13" i="12"/>
  <c r="L270" i="1"/>
  <c r="C32" i="10"/>
  <c r="H25" i="13"/>
  <c r="C25" i="13" s="1"/>
  <c r="F130" i="2"/>
  <c r="F144" i="2" s="1"/>
  <c r="F145" i="2" s="1"/>
  <c r="J640" i="1"/>
  <c r="F22" i="13"/>
  <c r="C22" i="13" s="1"/>
  <c r="E81" i="2"/>
  <c r="G649" i="1"/>
  <c r="J649" i="1" s="1"/>
  <c r="L560" i="1"/>
  <c r="L571" i="1" s="1"/>
  <c r="H545" i="1"/>
  <c r="C118" i="2"/>
  <c r="C56" i="2"/>
  <c r="F662" i="1"/>
  <c r="I662" i="1" s="1"/>
  <c r="F169" i="1"/>
  <c r="F112" i="1"/>
  <c r="E13" i="13"/>
  <c r="C13" i="13" s="1"/>
  <c r="D6" i="13"/>
  <c r="C6" i="13" s="1"/>
  <c r="D18" i="13"/>
  <c r="C18" i="13" s="1"/>
  <c r="H647" i="1"/>
  <c r="L544" i="1"/>
  <c r="L524" i="1"/>
  <c r="I52" i="1"/>
  <c r="H620" i="1" s="1"/>
  <c r="J620" i="1" s="1"/>
  <c r="D127" i="2"/>
  <c r="D128" i="2" s="1"/>
  <c r="D145" i="2" s="1"/>
  <c r="C124" i="2"/>
  <c r="C122" i="2"/>
  <c r="H661" i="1"/>
  <c r="C10" i="10"/>
  <c r="L419" i="1"/>
  <c r="J634" i="1"/>
  <c r="G338" i="1"/>
  <c r="G352" i="1" s="1"/>
  <c r="C62" i="2"/>
  <c r="C63" i="2" s="1"/>
  <c r="C18" i="2"/>
  <c r="K598" i="1"/>
  <c r="G647" i="1" s="1"/>
  <c r="J571" i="1"/>
  <c r="K571" i="1"/>
  <c r="L539" i="1"/>
  <c r="G545" i="1"/>
  <c r="I545" i="1"/>
  <c r="K503" i="1"/>
  <c r="J338" i="1"/>
  <c r="J352" i="1" s="1"/>
  <c r="G164" i="2"/>
  <c r="G161" i="2"/>
  <c r="G157" i="2"/>
  <c r="G156" i="2"/>
  <c r="E109" i="2"/>
  <c r="E115" i="2" s="1"/>
  <c r="C12" i="10"/>
  <c r="L229" i="1"/>
  <c r="G660" i="1" s="1"/>
  <c r="C17" i="10"/>
  <c r="H33" i="13"/>
  <c r="C29" i="10"/>
  <c r="J643" i="1"/>
  <c r="L614" i="1"/>
  <c r="L529" i="1"/>
  <c r="I460" i="1"/>
  <c r="I452" i="1"/>
  <c r="I446" i="1"/>
  <c r="G642" i="1" s="1"/>
  <c r="L256" i="1"/>
  <c r="I257" i="1"/>
  <c r="I271" i="1" s="1"/>
  <c r="F192" i="1"/>
  <c r="H52" i="1"/>
  <c r="H619" i="1" s="1"/>
  <c r="J619" i="1" s="1"/>
  <c r="C16" i="10"/>
  <c r="K257" i="1"/>
  <c r="K271" i="1" s="1"/>
  <c r="G257" i="1"/>
  <c r="G271" i="1" s="1"/>
  <c r="L211" i="1"/>
  <c r="D5" i="13"/>
  <c r="C5" i="13" s="1"/>
  <c r="E8" i="13"/>
  <c r="C8" i="13" s="1"/>
  <c r="C121" i="2"/>
  <c r="C109" i="2"/>
  <c r="C112" i="2"/>
  <c r="C11" i="10"/>
  <c r="F257" i="1"/>
  <c r="F271" i="1" s="1"/>
  <c r="D12" i="13"/>
  <c r="C12" i="13" s="1"/>
  <c r="C18" i="10"/>
  <c r="C81" i="2"/>
  <c r="D18" i="2"/>
  <c r="J617" i="1"/>
  <c r="G624" i="1"/>
  <c r="K500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G169" i="1"/>
  <c r="G140" i="1"/>
  <c r="F140" i="1"/>
  <c r="G63" i="2"/>
  <c r="J618" i="1"/>
  <c r="G42" i="2"/>
  <c r="G50" i="2" s="1"/>
  <c r="J51" i="1"/>
  <c r="G16" i="2"/>
  <c r="J19" i="1"/>
  <c r="G621" i="1" s="1"/>
  <c r="G18" i="2"/>
  <c r="F545" i="1"/>
  <c r="H434" i="1"/>
  <c r="D103" i="2"/>
  <c r="I140" i="1"/>
  <c r="A22" i="12"/>
  <c r="H648" i="1"/>
  <c r="J648" i="1" s="1"/>
  <c r="J652" i="1"/>
  <c r="G571" i="1"/>
  <c r="I434" i="1"/>
  <c r="G434" i="1"/>
  <c r="I663" i="1"/>
  <c r="C27" i="10"/>
  <c r="G664" i="1" l="1"/>
  <c r="G667" i="1" s="1"/>
  <c r="J624" i="1"/>
  <c r="H660" i="1"/>
  <c r="H664" i="1" s="1"/>
  <c r="H667" i="1" s="1"/>
  <c r="C39" i="10"/>
  <c r="D104" i="2"/>
  <c r="D31" i="13"/>
  <c r="C31" i="13" s="1"/>
  <c r="E145" i="2"/>
  <c r="F660" i="1"/>
  <c r="F664" i="1" s="1"/>
  <c r="F672" i="1" s="1"/>
  <c r="C4" i="10" s="1"/>
  <c r="E51" i="2"/>
  <c r="L338" i="1"/>
  <c r="L352" i="1" s="1"/>
  <c r="G633" i="1" s="1"/>
  <c r="J633" i="1" s="1"/>
  <c r="C36" i="10"/>
  <c r="K552" i="1"/>
  <c r="I461" i="1"/>
  <c r="H642" i="1" s="1"/>
  <c r="J642" i="1" s="1"/>
  <c r="G104" i="2"/>
  <c r="J647" i="1"/>
  <c r="F104" i="2"/>
  <c r="I193" i="1"/>
  <c r="G630" i="1" s="1"/>
  <c r="J630" i="1" s="1"/>
  <c r="C104" i="2"/>
  <c r="I661" i="1"/>
  <c r="E104" i="2"/>
  <c r="F33" i="13"/>
  <c r="G51" i="2"/>
  <c r="F193" i="1"/>
  <c r="G627" i="1" s="1"/>
  <c r="J627" i="1" s="1"/>
  <c r="C128" i="2"/>
  <c r="L545" i="1"/>
  <c r="L257" i="1"/>
  <c r="L271" i="1" s="1"/>
  <c r="G632" i="1" s="1"/>
  <c r="J632" i="1" s="1"/>
  <c r="C115" i="2"/>
  <c r="E33" i="13"/>
  <c r="D35" i="13" s="1"/>
  <c r="C28" i="10"/>
  <c r="D22" i="10" s="1"/>
  <c r="G672" i="1"/>
  <c r="C5" i="10" s="1"/>
  <c r="L408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D33" i="13"/>
  <c r="D36" i="13" s="1"/>
  <c r="F667" i="1"/>
  <c r="C145" i="2"/>
  <c r="D16" i="10"/>
  <c r="H672" i="1"/>
  <c r="C6" i="10" s="1"/>
  <c r="D20" i="10"/>
  <c r="D17" i="10"/>
  <c r="D18" i="10"/>
  <c r="C30" i="10"/>
  <c r="D19" i="10"/>
  <c r="D27" i="10"/>
  <c r="D26" i="10"/>
  <c r="D25" i="10"/>
  <c r="D24" i="10"/>
  <c r="D10" i="10"/>
  <c r="D15" i="10"/>
  <c r="D12" i="10"/>
  <c r="D23" i="10"/>
  <c r="D13" i="10"/>
  <c r="D11" i="10"/>
  <c r="D21" i="10"/>
  <c r="G637" i="1"/>
  <c r="J637" i="1" s="1"/>
  <c r="H646" i="1"/>
  <c r="J646" i="1" s="1"/>
  <c r="C41" i="10"/>
  <c r="D38" i="10" s="1"/>
  <c r="I667" i="1" l="1"/>
  <c r="D28" i="10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<sst xmlns="http://schemas.openxmlformats.org/spreadsheetml/2006/main" count="3960" uniqueCount="918">
  <si>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</si>
  <si>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</si>
  <si>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</si>
  <si>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</si>
  <si>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</si>
  <si>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</si>
  <si>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</si>
  <si>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</si>
  <si>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</si>
  <si>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</si>
  <si>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</si>
  <si>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</si>
  <si>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</si>
  <si>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</si>
  <si>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</si>
  <si>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</si>
  <si>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</si>
  <si>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</si>
  <si>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</si>
  <si>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</si>
  <si>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</si>
  <si>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</si>
  <si>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</si>
  <si>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</si>
  <si>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</si>
  <si>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</si>
  <si>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</si>
  <si>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</si>
  <si>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</si>
  <si>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</si>
  <si>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</si>
  <si>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</si>
  <si>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</si>
  <si>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</si>
  <si>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</si>
  <si>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</si>
  <si>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</si>
  <si>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</si>
  <si>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</si>
  <si>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</si>
  <si>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</si>
  <si>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</si>
  <si>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</si>
  <si>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</si>
  <si>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</si>
  <si>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</si>
  <si>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</si>
  <si>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</si>
  <si>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</si>
  <si>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</si>
  <si>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</si>
  <si>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</si>
  <si>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</si>
  <si>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</si>
  <si>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</si>
  <si>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</si>
  <si>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</si>
  <si>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</si>
  <si>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</si>
  <si>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</si>
  <si>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</si>
  <si>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</si>
  <si>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</si>
  <si>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</si>
  <si>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</si>
  <si>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</si>
  <si>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</si>
  <si>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</si>
  <si>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</si>
  <si>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</si>
  <si>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</si>
  <si>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</si>
  <si>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</si>
  <si>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</si>
  <si>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</si>
  <si>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</si>
  <si>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</si>
  <si>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</si>
  <si>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</si>
  <si>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</si>
  <si>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</si>
  <si>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</si>
  <si>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</si>
  <si>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</si>
  <si>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</si>
  <si>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</si>
  <si>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</si>
  <si>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</si>
  <si>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</si>
  <si>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</si>
  <si>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</si>
  <si>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</si>
  <si>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</si>
  <si>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</si>
  <si>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</si>
  <si>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</si>
  <si>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</si>
  <si>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</si>
  <si>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</si>
  <si>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</si>
  <si>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</si>
  <si>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</si>
  <si>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</si>
  <si>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</si>
  <si>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</si>
  <si>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</si>
  <si>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</si>
  <si>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</si>
  <si>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</si>
  <si>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</si>
  <si>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</si>
  <si>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</si>
  <si>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</si>
  <si>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</si>
  <si>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</si>
  <si>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</si>
  <si>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</si>
  <si>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</si>
  <si>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</si>
  <si>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</si>
  <si>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</si>
  <si>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</si>
  <si>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</si>
  <si>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</si>
  <si>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</si>
  <si>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</si>
  <si>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</si>
  <si>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</si>
  <si>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</si>
  <si>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</si>
  <si>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</si>
  <si>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</si>
  <si>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</si>
  <si>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</si>
  <si>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</si>
  <si>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</si>
  <si>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</si>
  <si>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</si>
  <si>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</si>
  <si>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</si>
  <si>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</si>
  <si>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</si>
  <si>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</si>
  <si>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</si>
  <si>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</si>
  <si>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</si>
  <si>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</si>
  <si>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</si>
  <si>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</si>
  <si>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</si>
  <si>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</si>
  <si>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</si>
  <si>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</si>
  <si>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</si>
  <si>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</si>
  <si>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</si>
  <si>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</si>
  <si>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</si>
  <si>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</si>
  <si>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</si>
  <si>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</si>
  <si>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</si>
  <si>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</si>
  <si>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</si>
  <si>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</si>
  <si>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</si>
  <si>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</si>
  <si>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</si>
  <si>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</si>
  <si>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</si>
  <si>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</si>
  <si>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</si>
  <si>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</si>
  <si>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</si>
  <si>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</si>
  <si>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</si>
  <si>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</si>
  <si>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</si>
  <si>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</si>
  <si>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</si>
  <si>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</si>
  <si>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</si>
  <si>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</si>
  <si>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</si>
  <si>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</si>
  <si>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</si>
  <si>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</si>
  <si>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</si>
  <si>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</si>
  <si>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</si>
  <si>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</si>
  <si>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</si>
  <si>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</si>
  <si>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</si>
  <si>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</si>
  <si>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</si>
  <si>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</si>
  <si>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</si>
  <si>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</si>
  <si>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</si>
  <si>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</si>
  <si>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</si>
  <si>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</si>
  <si>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</si>
  <si>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</si>
  <si>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</si>
  <si>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</si>
  <si>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</si>
  <si>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</si>
  <si>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</si>
  <si>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</si>
  <si>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</si>
  <si>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</si>
  <si>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</si>
  <si>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</si>
  <si>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</si>
  <si>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</si>
  <si>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</si>
  <si>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</si>
  <si>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</si>
  <si>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</si>
  <si>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</si>
  <si>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</si>
  <si>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</si>
  <si>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</si>
  <si>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</si>
  <si>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</si>
  <si>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</si>
  <si>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</si>
  <si>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</si>
  <si>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</si>
  <si>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</si>
  <si>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</si>
  <si>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</si>
  <si>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</si>
  <si>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</si>
  <si>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</si>
  <si>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</si>
  <si>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</si>
  <si>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</si>
  <si>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</si>
  <si>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</si>
  <si>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</si>
  <si>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</si>
  <si>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</si>
  <si>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</si>
  <si>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</si>
  <si>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</si>
  <si>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</si>
  <si>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</si>
  <si>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</si>
  <si>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</si>
  <si>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</si>
  <si>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</si>
  <si>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</si>
  <si>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</si>
  <si>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</si>
  <si>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</si>
  <si>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</si>
  <si>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</si>
  <si>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</si>
  <si>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</si>
  <si>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</si>
  <si>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</si>
  <si>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</si>
  <si>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</si>
  <si>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</si>
  <si>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</si>
  <si>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</si>
  <si>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</si>
  <si>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</si>
  <si>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</si>
  <si>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</si>
  <si>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</si>
  <si>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</si>
  <si>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</si>
  <si>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</si>
  <si>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</si>
  <si>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</si>
  <si>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</si>
  <si>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</si>
  <si>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</si>
  <si>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</si>
  <si>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</si>
  <si>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</si>
  <si>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</si>
  <si>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</si>
  <si>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</si>
  <si>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</si>
  <si>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</si>
  <si>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</si>
  <si>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</si>
  <si>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</si>
  <si>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</si>
  <si>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</si>
  <si>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</si>
  <si>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</si>
  <si>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</si>
  <si>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</si>
  <si>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</si>
  <si>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</si>
  <si>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</si>
  <si>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</si>
  <si>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</si>
  <si>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</si>
  <si>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</si>
  <si>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</si>
  <si>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</si>
  <si>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</si>
  <si>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</si>
  <si>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</si>
  <si>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</si>
  <si>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</si>
  <si>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</si>
  <si>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</si>
  <si>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</si>
  <si>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</si>
  <si>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</si>
  <si>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</si>
  <si>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</si>
  <si>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</si>
  <si>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</si>
  <si>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</si>
  <si>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</si>
  <si>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</si>
  <si>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</si>
  <si>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</si>
  <si>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</si>
  <si>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</si>
  <si>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</si>
  <si>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</si>
  <si>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</si>
  <si>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</si>
  <si>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</si>
  <si>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</si>
  <si>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</si>
  <si>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</si>
  <si>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</si>
  <si>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</si>
  <si>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</si>
  <si>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</si>
  <si>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</si>
  <si>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</si>
  <si>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</si>
  <si>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</si>
  <si>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</si>
  <si>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</si>
  <si>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</si>
  <si>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</si>
  <si>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</si>
  <si>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</si>
  <si>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</si>
  <si>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</si>
  <si>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</si>
  <si>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</si>
  <si>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</si>
  <si>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</si>
  <si>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</si>
  <si>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</si>
  <si>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</si>
  <si>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</si>
  <si>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</si>
  <si>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</si>
  <si>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</si>
  <si>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</si>
  <si>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</si>
  <si>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</si>
  <si>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</si>
  <si>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</si>
  <si>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</si>
  <si>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</si>
  <si>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</si>
  <si>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</si>
  <si>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</si>
  <si>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</si>
  <si>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</si>
  <si>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</si>
  <si>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</si>
  <si>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</si>
  <si>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</si>
  <si>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</si>
  <si>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</si>
  <si>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</si>
  <si>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</si>
  <si>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</si>
  <si>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</si>
  <si>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</si>
  <si>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</si>
  <si>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</si>
  <si>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</si>
  <si>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</si>
  <si>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</si>
  <si>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</si>
  <si>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</si>
  <si>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</si>
  <si>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</si>
  <si>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</si>
  <si>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</si>
  <si>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</si>
  <si>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</si>
  <si>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</si>
  <si>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</si>
  <si>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</si>
  <si>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</si>
  <si>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</si>
  <si>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</si>
  <si>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</si>
  <si>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</si>
  <si>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</si>
  <si>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</si>
  <si>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</si>
  <si>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</si>
  <si>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</si>
  <si>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</si>
  <si>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</si>
  <si>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</si>
  <si>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</si>
  <si>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</si>
  <si>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</si>
  <si>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</si>
  <si>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</si>
  <si>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</si>
  <si>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</si>
  <si>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</si>
  <si>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</si>
  <si>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</si>
  <si>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</si>
  <si>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</si>
  <si>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</si>
  <si>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</si>
  <si>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</si>
  <si>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</si>
  <si>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</si>
  <si>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</si>
  <si>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</si>
  <si>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</si>
  <si>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</si>
  <si>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</si>
  <si>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</si>
  <si>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</si>
  <si>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</si>
  <si>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</si>
  <si>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</si>
  <si>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</si>
  <si>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</si>
  <si>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</si>
  <si>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</si>
  <si>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</si>
  <si>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</si>
  <si>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</si>
  <si>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</si>
  <si>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</si>
  <si>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</si>
  <si>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</si>
  <si>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</si>
  <si>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</si>
  <si>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</si>
  <si>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</si>
  <si>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</si>
  <si>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</si>
  <si>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</si>
  <si>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</si>
  <si>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</si>
  <si>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</si>
  <si>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</si>
  <si>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</si>
  <si>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</si>
  <si>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</si>
  <si>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</si>
  <si>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</si>
  <si>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</si>
  <si>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</si>
  <si>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</si>
  <si>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</si>
  <si>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</si>
  <si>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</si>
  <si>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</si>
  <si>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</si>
  <si>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</si>
  <si>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</si>
  <si>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</si>
  <si>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</si>
  <si>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</si>
  <si>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</si>
  <si>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</si>
  <si>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</si>
  <si>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</si>
  <si>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</si>
  <si>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</si>
  <si>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</si>
  <si>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</si>
  <si>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</si>
  <si>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</si>
  <si>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</si>
  <si>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</si>
  <si>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</si>
  <si>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</si>
  <si>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</si>
  <si>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</si>
  <si>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</si>
  <si>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</si>
  <si>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</si>
  <si>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</si>
  <si>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</si>
  <si>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</si>
  <si>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</si>
  <si>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</si>
  <si>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</si>
  <si>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</si>
  <si>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</si>
  <si>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</si>
  <si>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</si>
  <si>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</si>
  <si>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</si>
  <si>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</si>
  <si>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</si>
  <si>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</si>
  <si>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</si>
  <si>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</si>
  <si>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</si>
  <si>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</si>
  <si>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</si>
  <si>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</si>
  <si>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</si>
  <si>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</si>
  <si>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</si>
  <si>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</si>
  <si>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</si>
  <si>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</si>
  <si>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</si>
  <si>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</si>
  <si>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</si>
  <si>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</si>
  <si>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</si>
  <si>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</si>
  <si>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</si>
  <si>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</si>
  <si>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</si>
  <si>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</si>
  <si>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</si>
  <si>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</si>
  <si>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</si>
  <si>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</si>
  <si>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</si>
  <si>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</si>
  <si>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</si>
  <si>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</si>
  <si>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</si>
  <si>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</si>
  <si>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</si>
  <si>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</si>
  <si>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</si>
  <si>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</si>
  <si>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</si>
  <si>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</si>
  <si>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</si>
  <si>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</si>
  <si>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</si>
  <si>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</si>
  <si>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</si>
  <si>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</si>
  <si>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</si>
  <si>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</si>
  <si>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</si>
  <si>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</si>
  <si>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</si>
  <si>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</si>
  <si>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</si>
  <si>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</si>
  <si>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</si>
  <si>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</si>
  <si>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</si>
  <si>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</si>
  <si>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</si>
  <si>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</si>
  <si>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</si>
  <si>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</si>
  <si>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</si>
  <si>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</si>
  <si>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</si>
  <si>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</si>
  <si>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</si>
  <si>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</si>
  <si>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</si>
  <si>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</si>
  <si>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</si>
  <si>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</si>
  <si>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</si>
  <si>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</si>
  <si>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</si>
  <si>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</si>
  <si>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</si>
  <si>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</si>
  <si>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</si>
  <si>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</si>
  <si>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</si>
  <si>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</si>
  <si>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</si>
  <si>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</si>
  <si>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</si>
  <si>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</si>
  <si>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</si>
  <si>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</si>
  <si>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</si>
  <si>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</si>
  <si>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</si>
  <si>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</si>
  <si>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</si>
  <si>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</si>
  <si>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</si>
  <si>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</si>
  <si>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</si>
  <si>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</si>
  <si>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</si>
  <si>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</si>
  <si>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</si>
  <si>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</si>
  <si>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</si>
  <si>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</si>
  <si>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</si>
  <si>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</si>
  <si>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</si>
  <si>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</si>
  <si>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</si>
  <si>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</si>
  <si>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</si>
  <si>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</si>
  <si>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</si>
  <si>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</si>
  <si>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</si>
  <si>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</si>
  <si>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</si>
  <si>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</si>
  <si>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</si>
  <si>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</si>
  <si>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</si>
  <si>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</si>
  <si>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</si>
  <si>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</si>
  <si>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</si>
  <si>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</si>
  <si>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</si>
  <si>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</si>
  <si>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</si>
  <si>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</si>
  <si>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</si>
  <si>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</si>
  <si>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</si>
  <si>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</si>
  <si>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</si>
  <si>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</si>
  <si>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</si>
  <si>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</si>
  <si>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</si>
  <si>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</si>
  <si>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</si>
  <si>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</si>
  <si>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</si>
  <si>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</si>
  <si>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</si>
  <si>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</si>
  <si>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</si>
  <si>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</si>
  <si>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</si>
  <si>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</si>
  <si>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</si>
  <si>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</si>
  <si>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</si>
  <si>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</si>
  <si>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</si>
  <si>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</si>
  <si>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</si>
  <si>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</si>
  <si>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</si>
  <si>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</si>
  <si>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</si>
  <si>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</si>
  <si>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</si>
  <si>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</si>
  <si>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</si>
  <si>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</si>
  <si>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</si>
  <si>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</si>
  <si>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</si>
  <si>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</si>
  <si>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</si>
  <si>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</si>
  <si>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</si>
  <si>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</si>
  <si>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</si>
  <si>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</si>
  <si>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</si>
  <si>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</si>
  <si>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</si>
  <si>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</si>
  <si>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</si>
  <si>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</si>
  <si>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</si>
  <si>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</si>
  <si>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</si>
  <si>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</si>
  <si>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</si>
  <si>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</si>
  <si>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</si>
  <si>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</si>
  <si>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</si>
  <si>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</si>
  <si>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</si>
  <si>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</si>
  <si>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</si>
  <si>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</si>
  <si>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</si>
  <si>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</si>
  <si>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</si>
  <si>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</si>
  <si>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</si>
  <si>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</si>
  <si>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</si>
  <si>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</si>
  <si>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</si>
  <si>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</si>
  <si>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</si>
  <si>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</si>
  <si>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</si>
  <si>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</si>
  <si>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</si>
  <si>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</si>
  <si>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</si>
  <si>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</si>
  <si>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</si>
  <si>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</si>
  <si>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</si>
  <si>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</si>
  <si>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</si>
  <si>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</si>
  <si>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</si>
  <si>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</si>
  <si>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</si>
  <si>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</si>
  <si>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</si>
  <si>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</si>
  <si>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</si>
  <si>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</si>
  <si>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</si>
  <si>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</si>
  <si>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</si>
  <si>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</si>
  <si>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</si>
  <si>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</si>
  <si>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</si>
  <si>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</si>
  <si>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</si>
  <si>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</si>
  <si>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</si>
  <si>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</si>
  <si>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</si>
  <si>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</si>
  <si>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</si>
  <si>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</si>
  <si>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</si>
  <si>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</si>
  <si>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</si>
  <si>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</si>
  <si>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</si>
  <si>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</si>
  <si>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</si>
  <si>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</si>
  <si>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</si>
  <si>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</si>
  <si>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</si>
  <si>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</si>
  <si>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</si>
  <si>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</si>
  <si>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</si>
  <si>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</si>
  <si>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</si>
  <si>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</si>
  <si>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</si>
  <si>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</si>
  <si>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</si>
  <si>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</si>
  <si>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</si>
  <si>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</si>
  <si>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</si>
  <si>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</si>
  <si>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</si>
  <si>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</si>
  <si>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</si>
  <si>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</si>
  <si>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</si>
  <si>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</si>
  <si>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</si>
  <si>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</si>
  <si>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</si>
  <si>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</si>
  <si>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</si>
  <si>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</si>
  <si>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</si>
  <si>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</si>
  <si>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</si>
  <si>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</si>
  <si>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</si>
  <si>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</si>
  <si>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</si>
  <si>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</si>
  <si>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</si>
  <si>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</si>
  <si>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</si>
  <si>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</si>
  <si>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</si>
  <si>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</si>
  <si>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</si>
  <si>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</si>
  <si>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</si>
  <si>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</si>
  <si>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</si>
  <si>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</si>
  <si>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</si>
  <si>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</si>
  <si>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</si>
  <si>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</si>
  <si>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</si>
  <si>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</si>
  <si>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</si>
  <si>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</si>
  <si>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</si>
  <si>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</si>
  <si>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</si>
  <si>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</si>
  <si>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</si>
  <si>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</si>
  <si>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</si>
  <si>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</si>
  <si>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</si>
  <si>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</si>
  <si>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</si>
  <si>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</si>
  <si>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</si>
  <si>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</si>
  <si>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</si>
  <si>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</si>
  <si>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</si>
  <si>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</si>
  <si>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</si>
  <si>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</si>
  <si>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</si>
  <si>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</si>
  <si>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</si>
  <si>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</si>
  <si>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</si>
  <si>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</si>
  <si>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</si>
  <si>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</si>
  <si>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</si>
  <si>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</si>
  <si>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</si>
  <si>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</si>
  <si>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</si>
  <si>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</si>
  <si>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</si>
  <si>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</si>
  <si>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</si>
  <si>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</si>
  <si>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</si>
  <si>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</si>
  <si>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</si>
  <si>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</si>
  <si>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</si>
  <si>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</si>
  <si>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</si>
  <si>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</si>
  <si>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</si>
  <si>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</si>
  <si>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</si>
  <si>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</si>
  <si>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</si>
  <si>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</si>
  <si>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</si>
  <si>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</si>
  <si>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</si>
  <si>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</si>
  <si>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</si>
  <si>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</si>
  <si>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</si>
  <si>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</si>
  <si>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</si>
  <si>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</si>
  <si>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</si>
  <si>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</si>
  <si>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</si>
  <si>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</si>
  <si>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</si>
  <si>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</si>
  <si>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</si>
  <si>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</si>
  <si>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</si>
  <si>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</si>
  <si>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</si>
  <si>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</si>
  <si>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</si>
  <si>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</si>
  <si>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</si>
  <si>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</si>
  <si>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</si>
  <si>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</si>
  <si>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</si>
  <si>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</si>
  <si>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</si>
  <si>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</si>
  <si>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</si>
  <si>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</si>
  <si>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HINSDALE SAU92</t>
  </si>
  <si>
    <t>08/05</t>
  </si>
  <si>
    <t>08/25</t>
  </si>
  <si>
    <t>audit adjustment</t>
  </si>
  <si>
    <t>Health Trust return of surplus $149,474.29 and $5715.25 recorded in Accrued Exp and employee/retiree amounts</t>
  </si>
  <si>
    <t>distributed during the year</t>
  </si>
  <si>
    <t>PropertyLiability Trust return of surplus $9,173.95 recorded in Other Revenue.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</si>
</sst>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9" activePane="bottomRight" state="frozen"/>
      <selection activeCell="H656" sqref="H656"/>
      <selection pane="topRight" activeCell="H656" sqref="H656"/>
      <selection pane="bottomLeft" activeCell="H656" sqref="H656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255</v>
      </c>
      <c r="C2" s="21">
        <v>255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1459292.77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57783.16</v>
      </c>
      <c r="G12" s="18">
        <v>2954.85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15341.86</v>
      </c>
      <c r="G13" s="18">
        <v>11568.03</v>
      </c>
      <c r="H13" s="18">
        <v>73014.03</v>
      </c>
      <c r="I13" s="18"/>
      <c r="J13" s="67">
        <f>SUM(I442)</f>
        <v>420683.95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494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263.26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1532417.79</v>
      </c>
      <c r="G19" s="41">
        <f>SUM(G9:G18)</f>
        <v>15280.140000000001</v>
      </c>
      <c r="H19" s="41">
        <f>SUM(H9:H18)</f>
        <v>73014.03</v>
      </c>
      <c r="I19" s="41">
        <f>SUM(I9:I18)</f>
        <v>0</v>
      </c>
      <c r="J19" s="41">
        <f>SUM(J9:J18)</f>
        <v>420683.95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60738.01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92676.85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100443.72</v>
      </c>
      <c r="G24" s="18">
        <v>15280.14</v>
      </c>
      <c r="H24" s="18">
        <v>7606.15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660043.39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853163.96</v>
      </c>
      <c r="G32" s="41">
        <f>SUM(G22:G31)</f>
        <v>15280.14</v>
      </c>
      <c r="H32" s="41">
        <f>SUM(H22:H31)</f>
        <v>68344.160000000003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4669.87</v>
      </c>
      <c r="I48" s="18"/>
      <c r="J48" s="13">
        <f>SUM(I459)</f>
        <v>420683.95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629253.82999999996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679253.83</v>
      </c>
      <c r="G51" s="41">
        <f>SUM(G35:G50)</f>
        <v>0</v>
      </c>
      <c r="H51" s="41">
        <f>SUM(H35:H50)</f>
        <v>4669.87</v>
      </c>
      <c r="I51" s="41">
        <f>SUM(I35:I50)</f>
        <v>0</v>
      </c>
      <c r="J51" s="41">
        <f>SUM(J35:J50)</f>
        <v>420683.95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1532417.79</v>
      </c>
      <c r="G52" s="41">
        <f>G51+G32</f>
        <v>15280.14</v>
      </c>
      <c r="H52" s="41">
        <f>H51+H32</f>
        <v>73014.03</v>
      </c>
      <c r="I52" s="41">
        <f>I51+I32</f>
        <v>0</v>
      </c>
      <c r="J52" s="41">
        <f>J51+J32</f>
        <v>420683.95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4828117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4828117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5640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21265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41489.86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>
        <v>23965.66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68394.86</v>
      </c>
      <c r="G79" s="45" t="s">
        <v>289</v>
      </c>
      <c r="H79" s="41">
        <f>SUM(H63:H78)</f>
        <v>23965.66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22986.28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104369.21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7801.3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13400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21381.39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100293.89-27749.6</f>
        <v>72544.290000000008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101726.98000000001</v>
      </c>
      <c r="G111" s="41">
        <f>SUM(G96:G110)</f>
        <v>104369.21</v>
      </c>
      <c r="H111" s="41">
        <f>SUM(H96:H110)</f>
        <v>13400</v>
      </c>
      <c r="I111" s="41">
        <f>SUM(I96:I110)</f>
        <v>0</v>
      </c>
      <c r="J111" s="41">
        <f>SUM(J96:J110)</f>
        <v>22986.28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4998238.8400000008</v>
      </c>
      <c r="G112" s="41">
        <f>G60+G111</f>
        <v>104369.21</v>
      </c>
      <c r="H112" s="41">
        <f>H60+H79+H94+H111</f>
        <v>37365.660000000003</v>
      </c>
      <c r="I112" s="41">
        <f>I60+I111</f>
        <v>0</v>
      </c>
      <c r="J112" s="41">
        <f>J60+J111</f>
        <v>22986.28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4362522.2699999996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591518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4954040.2699999996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462802.58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151789.84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11511.27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614592.42000000004</v>
      </c>
      <c r="G136" s="41">
        <f>SUM(G123:G135)</f>
        <v>11511.27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5568632.6899999995</v>
      </c>
      <c r="G140" s="41">
        <f>G121+SUM(G136:G137)</f>
        <v>11511.27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135259.34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243855.95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167629.94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159880.88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122863.57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94584.56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94584.56</v>
      </c>
      <c r="G162" s="41">
        <f>SUM(G150:G161)</f>
        <v>159880.88</v>
      </c>
      <c r="H162" s="41">
        <f>SUM(H150:H161)</f>
        <v>669608.80000000005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94584.56</v>
      </c>
      <c r="G169" s="41">
        <f>G147+G162+SUM(G163:G168)</f>
        <v>159880.88</v>
      </c>
      <c r="H169" s="41">
        <f>H147+H162+SUM(H163:H168)</f>
        <v>669608.80000000005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10172.58</v>
      </c>
      <c r="H179" s="18">
        <v>20556.43</v>
      </c>
      <c r="I179" s="18"/>
      <c r="J179" s="18">
        <v>100000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27749.599999999999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27749.599999999999</v>
      </c>
      <c r="G183" s="41">
        <f>SUM(G179:G182)</f>
        <v>10172.58</v>
      </c>
      <c r="H183" s="41">
        <f>SUM(H179:H182)</f>
        <v>20556.43</v>
      </c>
      <c r="I183" s="41">
        <f>SUM(I179:I182)</f>
        <v>0</v>
      </c>
      <c r="J183" s="41">
        <f>SUM(J179:J182)</f>
        <v>100000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>
        <v>151800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151800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27749.599999999999</v>
      </c>
      <c r="G192" s="41">
        <f>G183+SUM(G188:G191)</f>
        <v>10172.58</v>
      </c>
      <c r="H192" s="41">
        <f>+H183+SUM(H188:H191)</f>
        <v>20556.43</v>
      </c>
      <c r="I192" s="41">
        <f>I177+I183+SUM(I188:I191)</f>
        <v>151800</v>
      </c>
      <c r="J192" s="41">
        <f>J183</f>
        <v>100000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10689205.690000001</v>
      </c>
      <c r="G193" s="47">
        <f>G112+G140+G169+G192</f>
        <v>285933.94</v>
      </c>
      <c r="H193" s="47">
        <f>H112+H140+H169+H192</f>
        <v>727530.89000000013</v>
      </c>
      <c r="I193" s="47">
        <f>I112+I140+I169+I192</f>
        <v>151800</v>
      </c>
      <c r="J193" s="47">
        <f>J112+J140+J192</f>
        <v>122986.28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911645.41</v>
      </c>
      <c r="G197" s="18">
        <v>442905.79</v>
      </c>
      <c r="H197" s="18">
        <v>4185.42</v>
      </c>
      <c r="I197" s="18">
        <v>47023.13</v>
      </c>
      <c r="J197" s="18"/>
      <c r="K197" s="18"/>
      <c r="L197" s="19">
        <f>SUM(F197:K197)</f>
        <v>1405759.7499999998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493446.22</v>
      </c>
      <c r="G198" s="18">
        <v>132834.71</v>
      </c>
      <c r="H198" s="18">
        <v>192432.44</v>
      </c>
      <c r="I198" s="18">
        <v>4108.54</v>
      </c>
      <c r="J198" s="18"/>
      <c r="K198" s="18"/>
      <c r="L198" s="19">
        <f>SUM(F198:K198)</f>
        <v>822821.90999999992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16739.03</v>
      </c>
      <c r="G200" s="18">
        <v>2243.58</v>
      </c>
      <c r="H200" s="18"/>
      <c r="I200" s="18"/>
      <c r="J200" s="18"/>
      <c r="K200" s="18"/>
      <c r="L200" s="19">
        <f>SUM(F200:K200)</f>
        <v>18982.61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233746.18</v>
      </c>
      <c r="G202" s="18">
        <v>119030.53</v>
      </c>
      <c r="H202" s="18">
        <v>24644.93</v>
      </c>
      <c r="I202" s="18">
        <v>10142.01</v>
      </c>
      <c r="J202" s="18"/>
      <c r="K202" s="18">
        <v>427.7</v>
      </c>
      <c r="L202" s="19">
        <f t="shared" ref="L202:L208" si="0">SUM(F202:K202)</f>
        <v>387991.35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21542.31</v>
      </c>
      <c r="G203" s="18">
        <v>1812.44</v>
      </c>
      <c r="H203" s="18">
        <v>14651.07</v>
      </c>
      <c r="I203" s="18">
        <v>3843.25</v>
      </c>
      <c r="J203" s="18"/>
      <c r="K203" s="18">
        <v>34.78</v>
      </c>
      <c r="L203" s="19">
        <f t="shared" si="0"/>
        <v>41883.85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205872.29</v>
      </c>
      <c r="G204" s="18">
        <v>91165.14</v>
      </c>
      <c r="H204" s="18">
        <v>27884.55</v>
      </c>
      <c r="I204" s="18">
        <v>16462.39</v>
      </c>
      <c r="J204" s="18"/>
      <c r="K204" s="18">
        <v>4406.1000000000004</v>
      </c>
      <c r="L204" s="19">
        <f t="shared" si="0"/>
        <v>345790.47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196659.34</v>
      </c>
      <c r="G205" s="18">
        <v>92344.45</v>
      </c>
      <c r="H205" s="18">
        <v>5767.92</v>
      </c>
      <c r="I205" s="18">
        <v>5308.91</v>
      </c>
      <c r="J205" s="18"/>
      <c r="K205" s="18">
        <v>195</v>
      </c>
      <c r="L205" s="19">
        <f t="shared" si="0"/>
        <v>300275.61999999994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109762.41</v>
      </c>
      <c r="G207" s="18">
        <v>70375.72</v>
      </c>
      <c r="H207" s="18">
        <v>115290.88</v>
      </c>
      <c r="I207" s="18">
        <v>161737.57</v>
      </c>
      <c r="J207" s="18">
        <v>27482.68</v>
      </c>
      <c r="K207" s="18"/>
      <c r="L207" s="19">
        <f t="shared" si="0"/>
        <v>484649.26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138038.57</v>
      </c>
      <c r="I208" s="18"/>
      <c r="J208" s="18"/>
      <c r="K208" s="18"/>
      <c r="L208" s="19">
        <f t="shared" si="0"/>
        <v>138038.57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564</v>
      </c>
      <c r="G209" s="18">
        <v>122.67</v>
      </c>
      <c r="H209" s="18">
        <v>25671.68</v>
      </c>
      <c r="I209" s="18">
        <v>14309.42</v>
      </c>
      <c r="J209" s="18">
        <v>70527.320000000007</v>
      </c>
      <c r="K209" s="18">
        <v>61.1</v>
      </c>
      <c r="L209" s="19">
        <f>SUM(F209:K209)</f>
        <v>111256.19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2189977.19</v>
      </c>
      <c r="G211" s="41">
        <f t="shared" si="1"/>
        <v>952835.02999999991</v>
      </c>
      <c r="H211" s="41">
        <f t="shared" si="1"/>
        <v>548567.46000000008</v>
      </c>
      <c r="I211" s="41">
        <f t="shared" si="1"/>
        <v>262935.22000000003</v>
      </c>
      <c r="J211" s="41">
        <f t="shared" si="1"/>
        <v>98010</v>
      </c>
      <c r="K211" s="41">
        <f t="shared" si="1"/>
        <v>5124.68</v>
      </c>
      <c r="L211" s="41">
        <f t="shared" si="1"/>
        <v>4057449.5799999991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574293.25</v>
      </c>
      <c r="G215" s="18">
        <v>312016.09000000003</v>
      </c>
      <c r="H215" s="18">
        <v>7503.44</v>
      </c>
      <c r="I215" s="18">
        <v>32853.31</v>
      </c>
      <c r="J215" s="18"/>
      <c r="K215" s="18">
        <v>82.77</v>
      </c>
      <c r="L215" s="19">
        <f>SUM(F215:K215)</f>
        <v>926748.8600000001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182666.49</v>
      </c>
      <c r="G216" s="18">
        <v>42587.73</v>
      </c>
      <c r="H216" s="18">
        <v>157726.07999999999</v>
      </c>
      <c r="I216" s="18">
        <v>976.61</v>
      </c>
      <c r="J216" s="18"/>
      <c r="K216" s="18"/>
      <c r="L216" s="19">
        <f>SUM(F216:K216)</f>
        <v>383956.91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34461.78</v>
      </c>
      <c r="G218" s="18">
        <v>4955.37</v>
      </c>
      <c r="H218" s="18">
        <v>11992.02</v>
      </c>
      <c r="I218" s="18">
        <v>8930.17</v>
      </c>
      <c r="J218" s="18">
        <v>1057.17</v>
      </c>
      <c r="K218" s="18">
        <v>2236.1</v>
      </c>
      <c r="L218" s="19">
        <f>SUM(F218:K218)</f>
        <v>63632.609999999993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143617.95000000001</v>
      </c>
      <c r="G220" s="18">
        <v>74766.34</v>
      </c>
      <c r="H220" s="18">
        <v>13467.8</v>
      </c>
      <c r="I220" s="18">
        <v>3321.27</v>
      </c>
      <c r="J220" s="18"/>
      <c r="K220" s="18">
        <v>264.3</v>
      </c>
      <c r="L220" s="19">
        <f t="shared" ref="L220:L226" si="2">SUM(F220:K220)</f>
        <v>235437.65999999997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21061.75</v>
      </c>
      <c r="G221" s="18">
        <v>11269.41</v>
      </c>
      <c r="H221" s="18">
        <v>7793.14</v>
      </c>
      <c r="I221" s="18">
        <v>5390.6</v>
      </c>
      <c r="J221" s="18"/>
      <c r="K221" s="18">
        <v>18.5</v>
      </c>
      <c r="L221" s="19">
        <f t="shared" si="2"/>
        <v>45533.4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109506.54</v>
      </c>
      <c r="G222" s="18">
        <v>48492.11</v>
      </c>
      <c r="H222" s="18">
        <v>14832.22</v>
      </c>
      <c r="I222" s="18">
        <v>8756.59</v>
      </c>
      <c r="J222" s="18"/>
      <c r="K222" s="18">
        <v>2343.6799999999998</v>
      </c>
      <c r="L222" s="19">
        <f t="shared" si="2"/>
        <v>183931.13999999998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147888.4</v>
      </c>
      <c r="G223" s="18">
        <v>54307.54</v>
      </c>
      <c r="H223" s="18">
        <v>6077.11</v>
      </c>
      <c r="I223" s="18">
        <v>234.81</v>
      </c>
      <c r="J223" s="18"/>
      <c r="K223" s="18">
        <v>1666.52</v>
      </c>
      <c r="L223" s="19">
        <f t="shared" si="2"/>
        <v>210174.37999999998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58384.26</v>
      </c>
      <c r="G225" s="18">
        <v>37433.89</v>
      </c>
      <c r="H225" s="18">
        <v>61324.94</v>
      </c>
      <c r="I225" s="18">
        <v>86030.64</v>
      </c>
      <c r="J225" s="18">
        <v>14618.46</v>
      </c>
      <c r="K225" s="18"/>
      <c r="L225" s="19">
        <f t="shared" si="2"/>
        <v>257792.18999999997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91309.66</v>
      </c>
      <c r="I226" s="18"/>
      <c r="J226" s="18"/>
      <c r="K226" s="18"/>
      <c r="L226" s="19">
        <f t="shared" si="2"/>
        <v>91309.66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300</v>
      </c>
      <c r="G227" s="18">
        <v>65.25</v>
      </c>
      <c r="H227" s="18">
        <v>13655.16</v>
      </c>
      <c r="I227" s="18">
        <v>7611.4</v>
      </c>
      <c r="J227" s="18">
        <v>37514.53</v>
      </c>
      <c r="K227" s="18">
        <v>32.5</v>
      </c>
      <c r="L227" s="19">
        <f>SUM(F227:K227)</f>
        <v>59178.84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1272180.42</v>
      </c>
      <c r="G229" s="41">
        <f>SUM(G215:G228)</f>
        <v>585893.73</v>
      </c>
      <c r="H229" s="41">
        <f>SUM(H215:H228)</f>
        <v>385681.57</v>
      </c>
      <c r="I229" s="41">
        <f>SUM(I215:I228)</f>
        <v>154105.4</v>
      </c>
      <c r="J229" s="41">
        <f>SUM(J215:J228)</f>
        <v>53190.159999999996</v>
      </c>
      <c r="K229" s="41">
        <f t="shared" si="3"/>
        <v>6644.3700000000008</v>
      </c>
      <c r="L229" s="41">
        <f t="shared" si="3"/>
        <v>2457695.65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674170.34</v>
      </c>
      <c r="G233" s="18">
        <v>366279.81</v>
      </c>
      <c r="H233" s="18">
        <v>8808.4500000000007</v>
      </c>
      <c r="I233" s="18">
        <v>53801.760000000002</v>
      </c>
      <c r="J233" s="18"/>
      <c r="K233" s="18">
        <v>4097.2</v>
      </c>
      <c r="L233" s="19">
        <f>SUM(F233:K233)</f>
        <v>1107157.5599999998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214434.56</v>
      </c>
      <c r="G234" s="18">
        <v>49994.28</v>
      </c>
      <c r="H234" s="18">
        <v>209319.89</v>
      </c>
      <c r="I234" s="18">
        <v>1146.45</v>
      </c>
      <c r="J234" s="18"/>
      <c r="K234" s="18"/>
      <c r="L234" s="19">
        <f>SUM(F234:K234)</f>
        <v>474895.18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11375</v>
      </c>
      <c r="G235" s="18">
        <v>870.21</v>
      </c>
      <c r="H235" s="18">
        <v>34481.89</v>
      </c>
      <c r="I235" s="18">
        <v>1084.5999999999999</v>
      </c>
      <c r="J235" s="18"/>
      <c r="K235" s="18"/>
      <c r="L235" s="19">
        <f>SUM(F235:K235)</f>
        <v>47811.7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40455.129999999997</v>
      </c>
      <c r="G236" s="18">
        <v>5817.16</v>
      </c>
      <c r="H236" s="18">
        <v>14077.59</v>
      </c>
      <c r="I236" s="18">
        <v>10483.25</v>
      </c>
      <c r="J236" s="18">
        <v>1241.03</v>
      </c>
      <c r="K236" s="18">
        <v>2624.98</v>
      </c>
      <c r="L236" s="19">
        <f>SUM(F236:K236)</f>
        <v>74699.139999999985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165448.79</v>
      </c>
      <c r="G238" s="18">
        <v>86235.34</v>
      </c>
      <c r="H238" s="18">
        <v>15103.28</v>
      </c>
      <c r="I238" s="18">
        <v>3813.28</v>
      </c>
      <c r="J238" s="18"/>
      <c r="K238" s="18">
        <v>298</v>
      </c>
      <c r="L238" s="19">
        <f t="shared" ref="L238:L244" si="4">SUM(F238:K238)</f>
        <v>270898.69000000006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24690.9</v>
      </c>
      <c r="G239" s="18">
        <v>13222</v>
      </c>
      <c r="H239" s="18">
        <v>8728.31</v>
      </c>
      <c r="I239" s="18">
        <v>6311.9</v>
      </c>
      <c r="J239" s="18"/>
      <c r="K239" s="18">
        <v>20.72</v>
      </c>
      <c r="L239" s="19">
        <f t="shared" si="4"/>
        <v>52973.83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122647.32</v>
      </c>
      <c r="G240" s="18">
        <v>54311.14</v>
      </c>
      <c r="H240" s="18">
        <v>16612.060000000001</v>
      </c>
      <c r="I240" s="18">
        <v>9807.3799999999992</v>
      </c>
      <c r="J240" s="18"/>
      <c r="K240" s="18">
        <v>2624.92</v>
      </c>
      <c r="L240" s="19">
        <f t="shared" si="4"/>
        <v>206002.82000000004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173608.1</v>
      </c>
      <c r="G241" s="18">
        <v>63752.33</v>
      </c>
      <c r="H241" s="18">
        <v>7134.01</v>
      </c>
      <c r="I241" s="18">
        <v>275.64</v>
      </c>
      <c r="J241" s="18"/>
      <c r="K241" s="18">
        <v>1956.36</v>
      </c>
      <c r="L241" s="19">
        <f t="shared" si="4"/>
        <v>246726.44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65390.37</v>
      </c>
      <c r="G243" s="18">
        <v>41925.949999999997</v>
      </c>
      <c r="H243" s="18">
        <v>68683.94</v>
      </c>
      <c r="I243" s="18">
        <v>96354.3</v>
      </c>
      <c r="J243" s="18">
        <v>16372.66</v>
      </c>
      <c r="K243" s="18"/>
      <c r="L243" s="19">
        <f t="shared" si="4"/>
        <v>288727.21999999997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9440.5</v>
      </c>
      <c r="G244" s="18">
        <v>722.18</v>
      </c>
      <c r="H244" s="18">
        <v>106456.59</v>
      </c>
      <c r="I244" s="18"/>
      <c r="J244" s="18">
        <v>16329</v>
      </c>
      <c r="K244" s="18"/>
      <c r="L244" s="19">
        <f t="shared" si="4"/>
        <v>132948.26999999999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336</v>
      </c>
      <c r="G245" s="18">
        <v>73.08</v>
      </c>
      <c r="H245" s="18">
        <v>15293.77</v>
      </c>
      <c r="I245" s="18">
        <v>8524.77</v>
      </c>
      <c r="J245" s="18">
        <v>42016.27</v>
      </c>
      <c r="K245" s="18">
        <v>36.4</v>
      </c>
      <c r="L245" s="19">
        <f>SUM(F245:K245)</f>
        <v>66280.289999999994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1501997.01</v>
      </c>
      <c r="G247" s="41">
        <f t="shared" si="5"/>
        <v>683203.47999999986</v>
      </c>
      <c r="H247" s="41">
        <f t="shared" si="5"/>
        <v>504699.78000000014</v>
      </c>
      <c r="I247" s="41">
        <f t="shared" si="5"/>
        <v>191603.33</v>
      </c>
      <c r="J247" s="41">
        <f t="shared" si="5"/>
        <v>75958.959999999992</v>
      </c>
      <c r="K247" s="41">
        <f t="shared" si="5"/>
        <v>11658.58</v>
      </c>
      <c r="L247" s="41">
        <f t="shared" si="5"/>
        <v>2969121.1399999992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4964154.62</v>
      </c>
      <c r="G257" s="41">
        <f t="shared" si="8"/>
        <v>2221932.2399999998</v>
      </c>
      <c r="H257" s="41">
        <f t="shared" si="8"/>
        <v>1438948.81</v>
      </c>
      <c r="I257" s="41">
        <f t="shared" si="8"/>
        <v>608643.94999999995</v>
      </c>
      <c r="J257" s="41">
        <f t="shared" si="8"/>
        <v>227159.12</v>
      </c>
      <c r="K257" s="41">
        <f t="shared" si="8"/>
        <v>23427.63</v>
      </c>
      <c r="L257" s="41">
        <f t="shared" si="8"/>
        <v>9484266.3699999973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650000</v>
      </c>
      <c r="L260" s="19">
        <f>SUM(F260:K260)</f>
        <v>650000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362473.5</v>
      </c>
      <c r="L261" s="19">
        <f>SUM(F261:K261)</f>
        <v>362473.5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10172.58</v>
      </c>
      <c r="L263" s="19">
        <f>SUM(F263:K263)</f>
        <v>10172.58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20556.43</v>
      </c>
      <c r="L264" s="19">
        <f t="shared" ref="L264:L270" si="9">SUM(F264:K264)</f>
        <v>20556.43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100000</v>
      </c>
      <c r="L266" s="19">
        <f t="shared" si="9"/>
        <v>100000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1143202.51</v>
      </c>
      <c r="L270" s="41">
        <f t="shared" si="9"/>
        <v>1143202.51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4964154.62</v>
      </c>
      <c r="G271" s="42">
        <f t="shared" si="11"/>
        <v>2221932.2399999998</v>
      </c>
      <c r="H271" s="42">
        <f t="shared" si="11"/>
        <v>1438948.81</v>
      </c>
      <c r="I271" s="42">
        <f t="shared" si="11"/>
        <v>608643.94999999995</v>
      </c>
      <c r="J271" s="42">
        <f t="shared" si="11"/>
        <v>227159.12</v>
      </c>
      <c r="K271" s="42">
        <f t="shared" si="11"/>
        <v>1166630.1399999999</v>
      </c>
      <c r="L271" s="42">
        <f t="shared" si="11"/>
        <v>10627468.879999997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131286.91</v>
      </c>
      <c r="G276" s="18">
        <v>26346.59</v>
      </c>
      <c r="H276" s="18">
        <v>1800</v>
      </c>
      <c r="I276" s="18">
        <v>4243.79</v>
      </c>
      <c r="J276" s="18"/>
      <c r="K276" s="18"/>
      <c r="L276" s="19">
        <f>SUM(F276:K276)</f>
        <v>163677.29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30939.47</v>
      </c>
      <c r="G277" s="18">
        <v>23391.8</v>
      </c>
      <c r="H277" s="18"/>
      <c r="I277" s="18">
        <v>5024.8900000000003</v>
      </c>
      <c r="J277" s="18"/>
      <c r="K277" s="18"/>
      <c r="L277" s="19">
        <f>SUM(F277:K277)</f>
        <v>59356.160000000003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26159.37</v>
      </c>
      <c r="G282" s="18">
        <v>14613.46</v>
      </c>
      <c r="H282" s="18">
        <v>3208.34</v>
      </c>
      <c r="I282" s="18">
        <v>8114.08</v>
      </c>
      <c r="J282" s="18"/>
      <c r="K282" s="18">
        <v>2354.58</v>
      </c>
      <c r="L282" s="19">
        <f t="shared" si="12"/>
        <v>54449.83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188385.75</v>
      </c>
      <c r="G290" s="42">
        <f t="shared" si="13"/>
        <v>64351.85</v>
      </c>
      <c r="H290" s="42">
        <f t="shared" si="13"/>
        <v>5008.34</v>
      </c>
      <c r="I290" s="42">
        <f t="shared" si="13"/>
        <v>17382.760000000002</v>
      </c>
      <c r="J290" s="42">
        <f t="shared" si="13"/>
        <v>0</v>
      </c>
      <c r="K290" s="42">
        <f t="shared" si="13"/>
        <v>2354.58</v>
      </c>
      <c r="L290" s="41">
        <f t="shared" si="13"/>
        <v>277483.28000000003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138746.60999999999</v>
      </c>
      <c r="G295" s="18">
        <v>29715.21</v>
      </c>
      <c r="H295" s="18">
        <v>22164.43</v>
      </c>
      <c r="I295" s="18">
        <v>12407.07</v>
      </c>
      <c r="J295" s="18"/>
      <c r="K295" s="18">
        <v>3726.9</v>
      </c>
      <c r="L295" s="19">
        <f>SUM(F295:K295)</f>
        <v>206760.21999999997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16457.169999999998</v>
      </c>
      <c r="G296" s="18">
        <v>12442.44</v>
      </c>
      <c r="H296" s="18"/>
      <c r="I296" s="18">
        <v>1056.73</v>
      </c>
      <c r="J296" s="18"/>
      <c r="K296" s="18"/>
      <c r="L296" s="19">
        <f>SUM(F296:K296)</f>
        <v>29956.34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19777.560000000001</v>
      </c>
      <c r="G301" s="18">
        <v>12295.36</v>
      </c>
      <c r="H301" s="18">
        <v>4379.79</v>
      </c>
      <c r="I301" s="18">
        <v>2711.55</v>
      </c>
      <c r="J301" s="18"/>
      <c r="K301" s="18">
        <v>2088.0300000000002</v>
      </c>
      <c r="L301" s="19">
        <f t="shared" si="14"/>
        <v>41252.29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174981.33999999997</v>
      </c>
      <c r="G309" s="42">
        <f t="shared" si="15"/>
        <v>54453.01</v>
      </c>
      <c r="H309" s="42">
        <f t="shared" si="15"/>
        <v>26544.22</v>
      </c>
      <c r="I309" s="42">
        <f t="shared" si="15"/>
        <v>16175.349999999999</v>
      </c>
      <c r="J309" s="42">
        <f t="shared" si="15"/>
        <v>0</v>
      </c>
      <c r="K309" s="42">
        <f t="shared" si="15"/>
        <v>5814.93</v>
      </c>
      <c r="L309" s="41">
        <f t="shared" si="15"/>
        <v>277968.84999999998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32772.019999999997</v>
      </c>
      <c r="G314" s="18">
        <v>8618.7099999999991</v>
      </c>
      <c r="H314" s="18">
        <v>24993.94</v>
      </c>
      <c r="I314" s="18">
        <v>9747.19</v>
      </c>
      <c r="J314" s="18"/>
      <c r="K314" s="18">
        <v>4202.68</v>
      </c>
      <c r="L314" s="19">
        <f>SUM(F314:K314)</f>
        <v>80334.540000000008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18432.02</v>
      </c>
      <c r="G315" s="18">
        <v>13935.53</v>
      </c>
      <c r="H315" s="18"/>
      <c r="I315" s="18">
        <v>1183.53</v>
      </c>
      <c r="J315" s="18"/>
      <c r="K315" s="18"/>
      <c r="L315" s="19">
        <f>SUM(F315:K315)</f>
        <v>33551.08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4253.2</v>
      </c>
      <c r="G320" s="18">
        <v>832.15</v>
      </c>
      <c r="H320" s="18">
        <v>5736.61</v>
      </c>
      <c r="I320" s="18">
        <v>3036.9</v>
      </c>
      <c r="J320" s="18"/>
      <c r="K320" s="18"/>
      <c r="L320" s="19">
        <f t="shared" si="16"/>
        <v>13858.859999999999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>
        <v>13400</v>
      </c>
      <c r="L321" s="19">
        <f t="shared" si="16"/>
        <v>13400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55457.239999999991</v>
      </c>
      <c r="G328" s="42">
        <f t="shared" si="17"/>
        <v>23386.39</v>
      </c>
      <c r="H328" s="42">
        <f t="shared" si="17"/>
        <v>30730.55</v>
      </c>
      <c r="I328" s="42">
        <f t="shared" si="17"/>
        <v>13967.62</v>
      </c>
      <c r="J328" s="42">
        <f t="shared" si="17"/>
        <v>0</v>
      </c>
      <c r="K328" s="42">
        <f t="shared" si="17"/>
        <v>17602.68</v>
      </c>
      <c r="L328" s="41">
        <f t="shared" si="17"/>
        <v>141144.48000000001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418824.32999999996</v>
      </c>
      <c r="G338" s="41">
        <f t="shared" si="20"/>
        <v>142191.25</v>
      </c>
      <c r="H338" s="41">
        <f t="shared" si="20"/>
        <v>62283.11</v>
      </c>
      <c r="I338" s="41">
        <f t="shared" si="20"/>
        <v>47525.73</v>
      </c>
      <c r="J338" s="41">
        <f t="shared" si="20"/>
        <v>0</v>
      </c>
      <c r="K338" s="41">
        <f t="shared" si="20"/>
        <v>25772.190000000002</v>
      </c>
      <c r="L338" s="41">
        <f t="shared" si="20"/>
        <v>696596.61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27749.599999999999</v>
      </c>
      <c r="L344" s="19">
        <f t="shared" ref="L344:L350" si="21">SUM(F344:K344)</f>
        <v>27749.599999999999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27749.599999999999</v>
      </c>
      <c r="L351" s="41">
        <f>SUM(L341:L350)</f>
        <v>27749.599999999999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418824.32999999996</v>
      </c>
      <c r="G352" s="41">
        <f>G338</f>
        <v>142191.25</v>
      </c>
      <c r="H352" s="41">
        <f>H338</f>
        <v>62283.11</v>
      </c>
      <c r="I352" s="41">
        <f>I338</f>
        <v>47525.73</v>
      </c>
      <c r="J352" s="41">
        <f>J338</f>
        <v>0</v>
      </c>
      <c r="K352" s="47">
        <f>K338+K351</f>
        <v>53521.79</v>
      </c>
      <c r="L352" s="41">
        <f>L338+L351</f>
        <v>724346.21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134388.95000000001</v>
      </c>
      <c r="I358" s="18"/>
      <c r="J358" s="18"/>
      <c r="K358" s="18"/>
      <c r="L358" s="13">
        <f>SUM(F358:K358)</f>
        <v>134388.95000000001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71483.490000000005</v>
      </c>
      <c r="I359" s="18"/>
      <c r="J359" s="18"/>
      <c r="K359" s="18"/>
      <c r="L359" s="19">
        <f>SUM(F359:K359)</f>
        <v>71483.490000000005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80061.5</v>
      </c>
      <c r="I360" s="18"/>
      <c r="J360" s="18"/>
      <c r="K360" s="18"/>
      <c r="L360" s="19">
        <f>SUM(F360:K360)</f>
        <v>80061.5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285933.94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285933.94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>
        <v>151800</v>
      </c>
      <c r="K379" s="18"/>
      <c r="L379" s="13">
        <f t="shared" si="23"/>
        <v>151800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151800</v>
      </c>
      <c r="K382" s="47">
        <f t="shared" si="24"/>
        <v>0</v>
      </c>
      <c r="L382" s="47">
        <f t="shared" si="24"/>
        <v>151800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3.65</v>
      </c>
      <c r="I389" s="18"/>
      <c r="J389" s="24" t="s">
        <v>289</v>
      </c>
      <c r="K389" s="24" t="s">
        <v>289</v>
      </c>
      <c r="L389" s="56">
        <f t="shared" si="25"/>
        <v>3.65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3.65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3.65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50000</v>
      </c>
      <c r="H396" s="18">
        <v>8699.7099999999991</v>
      </c>
      <c r="I396" s="18"/>
      <c r="J396" s="24" t="s">
        <v>289</v>
      </c>
      <c r="K396" s="24" t="s">
        <v>289</v>
      </c>
      <c r="L396" s="56">
        <f t="shared" si="26"/>
        <v>58699.71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>
        <v>14282.92</v>
      </c>
      <c r="I397" s="18"/>
      <c r="J397" s="24" t="s">
        <v>289</v>
      </c>
      <c r="K397" s="24" t="s">
        <v>289</v>
      </c>
      <c r="L397" s="56">
        <f t="shared" si="26"/>
        <v>64282.92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22982.629999999997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122982.63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22986.28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122986.28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151800</v>
      </c>
      <c r="L422" s="56">
        <f t="shared" si="29"/>
        <v>151800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151800</v>
      </c>
      <c r="L427" s="47">
        <f t="shared" si="30"/>
        <v>151800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151800</v>
      </c>
      <c r="L434" s="47">
        <f t="shared" si="32"/>
        <v>151800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32542.49</v>
      </c>
      <c r="G442" s="18">
        <v>388141.46</v>
      </c>
      <c r="H442" s="18"/>
      <c r="I442" s="56">
        <f t="shared" si="33"/>
        <v>420683.95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32542.49</v>
      </c>
      <c r="G446" s="13">
        <f>SUM(G439:G445)</f>
        <v>388141.46</v>
      </c>
      <c r="H446" s="13">
        <f>SUM(H439:H445)</f>
        <v>0</v>
      </c>
      <c r="I446" s="13">
        <f>SUM(I439:I445)</f>
        <v>420683.95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32542.49</v>
      </c>
      <c r="G459" s="18">
        <v>388141.46</v>
      </c>
      <c r="H459" s="18"/>
      <c r="I459" s="56">
        <f t="shared" si="34"/>
        <v>420683.95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32542.49</v>
      </c>
      <c r="G460" s="83">
        <f>SUM(G454:G459)</f>
        <v>388141.46</v>
      </c>
      <c r="H460" s="83">
        <f>SUM(H454:H459)</f>
        <v>0</v>
      </c>
      <c r="I460" s="83">
        <f>SUM(I454:I459)</f>
        <v>420683.95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32542.49</v>
      </c>
      <c r="G461" s="42">
        <f>G452+G460</f>
        <v>388141.46</v>
      </c>
      <c r="H461" s="42">
        <f>H452+H460</f>
        <v>0</v>
      </c>
      <c r="I461" s="42">
        <f>I452+I460</f>
        <v>420683.95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617517.02</v>
      </c>
      <c r="G465" s="18"/>
      <c r="H465" s="18">
        <v>22041.62</v>
      </c>
      <c r="I465" s="18"/>
      <c r="J465" s="18">
        <v>449497.67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10689205.689999999</v>
      </c>
      <c r="G468" s="18">
        <v>285933.94</v>
      </c>
      <c r="H468" s="18">
        <v>727530.89</v>
      </c>
      <c r="I468" s="18">
        <v>151800</v>
      </c>
      <c r="J468" s="18">
        <v>122986.28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10689205.689999999</v>
      </c>
      <c r="G470" s="53">
        <f>SUM(G468:G469)</f>
        <v>285933.94</v>
      </c>
      <c r="H470" s="53">
        <f>SUM(H468:H469)</f>
        <v>727530.89</v>
      </c>
      <c r="I470" s="53">
        <f>SUM(I468:I469)</f>
        <v>151800</v>
      </c>
      <c r="J470" s="53">
        <f>SUM(J468:J469)</f>
        <v>122986.28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10627468.880000001</v>
      </c>
      <c r="G472" s="18">
        <v>285933.94</v>
      </c>
      <c r="H472" s="18">
        <v>724346.21</v>
      </c>
      <c r="I472" s="18">
        <v>151800</v>
      </c>
      <c r="J472" s="18">
        <v>151800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>
        <v>20556.43</v>
      </c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10627468.880000001</v>
      </c>
      <c r="G474" s="53">
        <f>SUM(G472:G473)</f>
        <v>285933.94</v>
      </c>
      <c r="H474" s="53">
        <f>SUM(H472:H473)</f>
        <v>744902.64</v>
      </c>
      <c r="I474" s="53">
        <f>SUM(I472:I473)</f>
        <v>151800</v>
      </c>
      <c r="J474" s="53">
        <f>SUM(J472:J473)</f>
        <v>151800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679253.82999999821</v>
      </c>
      <c r="G476" s="53">
        <f>(G465+G470)- G474</f>
        <v>0</v>
      </c>
      <c r="H476" s="53">
        <f>(H465+H470)- H474</f>
        <v>4669.8699999999953</v>
      </c>
      <c r="I476" s="53">
        <f>(I465+I470)- I474</f>
        <v>0</v>
      </c>
      <c r="J476" s="53">
        <f>(J465+J470)- J474</f>
        <v>420683.94999999995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914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13032960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4.04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8450000</v>
      </c>
      <c r="G495" s="18"/>
      <c r="H495" s="18"/>
      <c r="I495" s="18"/>
      <c r="J495" s="18"/>
      <c r="K495" s="53">
        <f>SUM(F495:J495)</f>
        <v>8450000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650000</v>
      </c>
      <c r="G497" s="18"/>
      <c r="H497" s="18"/>
      <c r="I497" s="18"/>
      <c r="J497" s="18"/>
      <c r="K497" s="53">
        <f t="shared" si="35"/>
        <v>650000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7800000</v>
      </c>
      <c r="G498" s="204"/>
      <c r="H498" s="204"/>
      <c r="I498" s="204"/>
      <c r="J498" s="204"/>
      <c r="K498" s="205">
        <f t="shared" si="35"/>
        <v>7800000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2029475.25</v>
      </c>
      <c r="G499" s="18"/>
      <c r="H499" s="18"/>
      <c r="I499" s="18"/>
      <c r="J499" s="18"/>
      <c r="K499" s="53">
        <f t="shared" si="35"/>
        <v>2029475.25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9829475.25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9829475.25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650000</v>
      </c>
      <c r="G501" s="204"/>
      <c r="H501" s="204"/>
      <c r="I501" s="204"/>
      <c r="J501" s="204"/>
      <c r="K501" s="205">
        <f t="shared" si="35"/>
        <v>650000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322973.5</v>
      </c>
      <c r="G502" s="18"/>
      <c r="H502" s="18"/>
      <c r="I502" s="18"/>
      <c r="J502" s="18"/>
      <c r="K502" s="53">
        <f t="shared" si="35"/>
        <v>322973.5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972973.5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972973.5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524385.68999999994</v>
      </c>
      <c r="G521" s="18">
        <v>156226.5</v>
      </c>
      <c r="H521" s="18">
        <v>187588.86</v>
      </c>
      <c r="I521" s="18">
        <v>9133.43</v>
      </c>
      <c r="J521" s="18"/>
      <c r="K521" s="18"/>
      <c r="L521" s="88">
        <f>SUM(F521:K521)</f>
        <v>877334.48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199123.66</v>
      </c>
      <c r="G522" s="18">
        <v>55030.17</v>
      </c>
      <c r="H522" s="18">
        <v>153192.46</v>
      </c>
      <c r="I522" s="18">
        <v>2019.21</v>
      </c>
      <c r="J522" s="18"/>
      <c r="K522" s="18"/>
      <c r="L522" s="88">
        <f>SUM(F522:K522)</f>
        <v>409365.50000000006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232866.58</v>
      </c>
      <c r="G523" s="18">
        <v>63929.81</v>
      </c>
      <c r="H523" s="18">
        <v>203313.28</v>
      </c>
      <c r="I523" s="18">
        <v>2313.39</v>
      </c>
      <c r="J523" s="18"/>
      <c r="K523" s="18"/>
      <c r="L523" s="88">
        <f>SUM(F523:K523)</f>
        <v>502423.06000000006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956375.92999999993</v>
      </c>
      <c r="G524" s="108">
        <f t="shared" ref="G524:L524" si="36">SUM(G521:G523)</f>
        <v>275186.48</v>
      </c>
      <c r="H524" s="108">
        <f t="shared" si="36"/>
        <v>544094.6</v>
      </c>
      <c r="I524" s="108">
        <f t="shared" si="36"/>
        <v>13466.029999999999</v>
      </c>
      <c r="J524" s="108">
        <f t="shared" si="36"/>
        <v>0</v>
      </c>
      <c r="K524" s="108">
        <f t="shared" si="36"/>
        <v>0</v>
      </c>
      <c r="L524" s="89">
        <f t="shared" si="36"/>
        <v>1789123.04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109711.32</v>
      </c>
      <c r="G526" s="18">
        <v>53484.81</v>
      </c>
      <c r="H526" s="18">
        <v>22799.75</v>
      </c>
      <c r="I526" s="18">
        <v>2985.24</v>
      </c>
      <c r="J526" s="18"/>
      <c r="K526" s="18">
        <v>427.7</v>
      </c>
      <c r="L526" s="88">
        <f>SUM(F526:K526)</f>
        <v>189408.82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58357.09</v>
      </c>
      <c r="G527" s="18">
        <v>28449.37</v>
      </c>
      <c r="H527" s="18">
        <v>12046.5</v>
      </c>
      <c r="I527" s="18">
        <v>1587.9</v>
      </c>
      <c r="J527" s="18"/>
      <c r="K527" s="18">
        <v>227.5</v>
      </c>
      <c r="L527" s="88">
        <f>SUM(F527:K527)</f>
        <v>100668.35999999999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65359.94</v>
      </c>
      <c r="G528" s="18">
        <v>31863.27</v>
      </c>
      <c r="H528" s="18">
        <v>13492.08</v>
      </c>
      <c r="I528" s="18">
        <v>1778.44</v>
      </c>
      <c r="J528" s="18"/>
      <c r="K528" s="18">
        <v>254.8</v>
      </c>
      <c r="L528" s="88">
        <f>SUM(F528:K528)</f>
        <v>112748.53000000001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233428.35</v>
      </c>
      <c r="G529" s="89">
        <f t="shared" ref="G529:L529" si="37">SUM(G526:G528)</f>
        <v>113797.45</v>
      </c>
      <c r="H529" s="89">
        <f t="shared" si="37"/>
        <v>48338.33</v>
      </c>
      <c r="I529" s="89">
        <f t="shared" si="37"/>
        <v>6351.58</v>
      </c>
      <c r="J529" s="89">
        <f t="shared" si="37"/>
        <v>0</v>
      </c>
      <c r="K529" s="89">
        <f t="shared" si="37"/>
        <v>910</v>
      </c>
      <c r="L529" s="89">
        <f t="shared" si="37"/>
        <v>402825.71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62598.06</v>
      </c>
      <c r="G531" s="18">
        <v>13984.24</v>
      </c>
      <c r="H531" s="18">
        <v>990.96</v>
      </c>
      <c r="I531" s="18">
        <v>262.61</v>
      </c>
      <c r="J531" s="18"/>
      <c r="K531" s="18">
        <v>284.68</v>
      </c>
      <c r="L531" s="88">
        <f>SUM(F531:K531)</f>
        <v>78120.55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33296.86</v>
      </c>
      <c r="G532" s="18">
        <v>7438.42</v>
      </c>
      <c r="H532" s="18">
        <v>527.11</v>
      </c>
      <c r="I532" s="18">
        <v>139.69</v>
      </c>
      <c r="J532" s="18"/>
      <c r="K532" s="18">
        <v>151.43</v>
      </c>
      <c r="L532" s="88">
        <f>SUM(F532:K532)</f>
        <v>41553.51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37292.480000000003</v>
      </c>
      <c r="G533" s="18">
        <v>8331.0300000000007</v>
      </c>
      <c r="H533" s="18">
        <v>590.36</v>
      </c>
      <c r="I533" s="18">
        <v>156.44999999999999</v>
      </c>
      <c r="J533" s="18"/>
      <c r="K533" s="18">
        <v>169.6</v>
      </c>
      <c r="L533" s="88">
        <f>SUM(F533:K533)</f>
        <v>46539.92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133187.4</v>
      </c>
      <c r="G534" s="89">
        <f t="shared" ref="G534:L534" si="38">SUM(G531:G533)</f>
        <v>29753.690000000002</v>
      </c>
      <c r="H534" s="89">
        <f t="shared" si="38"/>
        <v>2108.4300000000003</v>
      </c>
      <c r="I534" s="89">
        <f t="shared" si="38"/>
        <v>558.75</v>
      </c>
      <c r="J534" s="89">
        <f t="shared" si="38"/>
        <v>0</v>
      </c>
      <c r="K534" s="89">
        <f t="shared" si="38"/>
        <v>605.71</v>
      </c>
      <c r="L534" s="89">
        <f t="shared" si="38"/>
        <v>166213.97999999998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289.76</v>
      </c>
      <c r="I536" s="18"/>
      <c r="J536" s="18"/>
      <c r="K536" s="18"/>
      <c r="L536" s="88">
        <f>SUM(F536:K536)</f>
        <v>289.76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154.13</v>
      </c>
      <c r="I537" s="18"/>
      <c r="J537" s="18"/>
      <c r="K537" s="18"/>
      <c r="L537" s="88">
        <f>SUM(F537:K537)</f>
        <v>154.13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172.62</v>
      </c>
      <c r="I538" s="18"/>
      <c r="J538" s="18"/>
      <c r="K538" s="18"/>
      <c r="L538" s="88">
        <f>SUM(F538:K538)</f>
        <v>172.62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616.51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616.51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67130.460000000006</v>
      </c>
      <c r="I541" s="18"/>
      <c r="J541" s="18"/>
      <c r="K541" s="18"/>
      <c r="L541" s="88">
        <f>SUM(F541:K541)</f>
        <v>67130.460000000006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35707.69</v>
      </c>
      <c r="I542" s="18"/>
      <c r="J542" s="18"/>
      <c r="K542" s="18"/>
      <c r="L542" s="88">
        <f>SUM(F542:K542)</f>
        <v>35707.69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39992.61</v>
      </c>
      <c r="I543" s="18"/>
      <c r="J543" s="18"/>
      <c r="K543" s="18"/>
      <c r="L543" s="88">
        <f>SUM(F543:K543)</f>
        <v>39992.61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142830.76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142830.76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1322991.68</v>
      </c>
      <c r="G545" s="89">
        <f t="shared" ref="G545:L545" si="41">G524+G529+G534+G539+G544</f>
        <v>418737.62</v>
      </c>
      <c r="H545" s="89">
        <f t="shared" si="41"/>
        <v>737988.63</v>
      </c>
      <c r="I545" s="89">
        <f t="shared" si="41"/>
        <v>20376.36</v>
      </c>
      <c r="J545" s="89">
        <f t="shared" si="41"/>
        <v>0</v>
      </c>
      <c r="K545" s="89">
        <f t="shared" si="41"/>
        <v>1515.71</v>
      </c>
      <c r="L545" s="89">
        <f t="shared" si="41"/>
        <v>2501610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877334.48</v>
      </c>
      <c r="G549" s="87">
        <f>L526</f>
        <v>189408.82</v>
      </c>
      <c r="H549" s="87">
        <f>L531</f>
        <v>78120.55</v>
      </c>
      <c r="I549" s="87">
        <f>L536</f>
        <v>289.76</v>
      </c>
      <c r="J549" s="87">
        <f>L541</f>
        <v>67130.460000000006</v>
      </c>
      <c r="K549" s="87">
        <f>SUM(F549:J549)</f>
        <v>1212284.07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409365.50000000006</v>
      </c>
      <c r="G550" s="87">
        <f>L527</f>
        <v>100668.35999999999</v>
      </c>
      <c r="H550" s="87">
        <f>L532</f>
        <v>41553.51</v>
      </c>
      <c r="I550" s="87">
        <f>L537</f>
        <v>154.13</v>
      </c>
      <c r="J550" s="87">
        <f>L542</f>
        <v>35707.69</v>
      </c>
      <c r="K550" s="87">
        <f>SUM(F550:J550)</f>
        <v>587449.18999999994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502423.06000000006</v>
      </c>
      <c r="G551" s="87">
        <f>L528</f>
        <v>112748.53000000001</v>
      </c>
      <c r="H551" s="87">
        <f>L533</f>
        <v>46539.92</v>
      </c>
      <c r="I551" s="87">
        <f>L538</f>
        <v>172.62</v>
      </c>
      <c r="J551" s="87">
        <f>L543</f>
        <v>39992.61</v>
      </c>
      <c r="K551" s="87">
        <f>SUM(F551:J551)</f>
        <v>701876.74000000011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1789123.04</v>
      </c>
      <c r="G552" s="89">
        <f t="shared" si="42"/>
        <v>402825.71</v>
      </c>
      <c r="H552" s="89">
        <f t="shared" si="42"/>
        <v>166213.97999999998</v>
      </c>
      <c r="I552" s="89">
        <f t="shared" si="42"/>
        <v>616.51</v>
      </c>
      <c r="J552" s="89">
        <f t="shared" si="42"/>
        <v>142830.76</v>
      </c>
      <c r="K552" s="89">
        <f t="shared" si="42"/>
        <v>2501610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>
        <v>152.32</v>
      </c>
      <c r="I562" s="18"/>
      <c r="J562" s="18"/>
      <c r="K562" s="18"/>
      <c r="L562" s="88">
        <f>SUM(F562:K562)</f>
        <v>152.32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152.32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152.32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152.32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152.32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30505.24</v>
      </c>
      <c r="G579" s="18"/>
      <c r="H579" s="18"/>
      <c r="I579" s="87">
        <f t="shared" si="47"/>
        <v>30505.24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148770.67000000001</v>
      </c>
      <c r="G582" s="18">
        <v>148770.67000000001</v>
      </c>
      <c r="H582" s="18">
        <v>198360.89</v>
      </c>
      <c r="I582" s="87">
        <f t="shared" si="47"/>
        <v>495902.23000000004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29593.08</v>
      </c>
      <c r="I585" s="87">
        <f t="shared" si="47"/>
        <v>29593.08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69084.350000000006</v>
      </c>
      <c r="I591" s="18">
        <v>36747</v>
      </c>
      <c r="J591" s="18">
        <v>41156.629999999997</v>
      </c>
      <c r="K591" s="104">
        <f t="shared" ref="K591:K597" si="48">SUM(H591:J591)</f>
        <v>146987.98000000001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67130.460000000006</v>
      </c>
      <c r="I592" s="18">
        <v>35707.69</v>
      </c>
      <c r="J592" s="18">
        <v>39992.61</v>
      </c>
      <c r="K592" s="104">
        <f t="shared" si="48"/>
        <v>142830.76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13335.93</v>
      </c>
      <c r="K593" s="104">
        <f t="shared" si="48"/>
        <v>13335.93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18661.73</v>
      </c>
      <c r="J594" s="18">
        <v>21907.25</v>
      </c>
      <c r="K594" s="104">
        <f t="shared" si="48"/>
        <v>40568.979999999996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1823.76</v>
      </c>
      <c r="I595" s="18">
        <v>193.24</v>
      </c>
      <c r="J595" s="18">
        <v>226.85</v>
      </c>
      <c r="K595" s="104">
        <f t="shared" si="48"/>
        <v>2243.85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>
        <v>16329</v>
      </c>
      <c r="K597" s="104">
        <f t="shared" si="48"/>
        <v>16329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138038.57</v>
      </c>
      <c r="I598" s="108">
        <f>SUM(I591:I597)</f>
        <v>91309.66</v>
      </c>
      <c r="J598" s="108">
        <f>SUM(J591:J597)</f>
        <v>132948.26999999999</v>
      </c>
      <c r="K598" s="108">
        <f>SUM(K591:K597)</f>
        <v>362296.49999999994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98010</v>
      </c>
      <c r="I604" s="18">
        <v>53190.16</v>
      </c>
      <c r="J604" s="18">
        <v>75958.960000000006</v>
      </c>
      <c r="K604" s="104">
        <f>SUM(H604:J604)</f>
        <v>227159.12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98010</v>
      </c>
      <c r="I605" s="108">
        <f>SUM(I602:I604)</f>
        <v>53190.16</v>
      </c>
      <c r="J605" s="108">
        <f>SUM(J602:J604)</f>
        <v>75958.960000000006</v>
      </c>
      <c r="K605" s="108">
        <f>SUM(K602:K604)</f>
        <v>227159.12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16739.03</v>
      </c>
      <c r="G611" s="18">
        <v>2243.58</v>
      </c>
      <c r="H611" s="18"/>
      <c r="I611" s="18"/>
      <c r="J611" s="18"/>
      <c r="K611" s="18"/>
      <c r="L611" s="88">
        <f>SUM(F611:K611)</f>
        <v>18982.61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6505.14</v>
      </c>
      <c r="G612" s="18">
        <v>601.86</v>
      </c>
      <c r="H612" s="18"/>
      <c r="I612" s="18">
        <v>158.69999999999999</v>
      </c>
      <c r="J612" s="18"/>
      <c r="K612" s="18"/>
      <c r="L612" s="88">
        <f>SUM(F612:K612)</f>
        <v>7265.7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7636.46</v>
      </c>
      <c r="G613" s="18">
        <v>706.52</v>
      </c>
      <c r="H613" s="18"/>
      <c r="I613" s="18">
        <v>186.3</v>
      </c>
      <c r="J613" s="18"/>
      <c r="K613" s="18"/>
      <c r="L613" s="88">
        <f>SUM(F613:K613)</f>
        <v>8529.2799999999988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30880.629999999997</v>
      </c>
      <c r="G614" s="108">
        <f t="shared" si="49"/>
        <v>3551.96</v>
      </c>
      <c r="H614" s="108">
        <f t="shared" si="49"/>
        <v>0</v>
      </c>
      <c r="I614" s="108">
        <f t="shared" si="49"/>
        <v>345</v>
      </c>
      <c r="J614" s="108">
        <f t="shared" si="49"/>
        <v>0</v>
      </c>
      <c r="K614" s="108">
        <f t="shared" si="49"/>
        <v>0</v>
      </c>
      <c r="L614" s="89">
        <f t="shared" si="49"/>
        <v>34777.589999999997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1532417.79</v>
      </c>
      <c r="H617" s="109">
        <f>SUM(F52)</f>
        <v>1532417.79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15280.140000000001</v>
      </c>
      <c r="H618" s="109">
        <f>SUM(G52)</f>
        <v>15280.14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73014.03</v>
      </c>
      <c r="H619" s="109">
        <f>SUM(H52)</f>
        <v>73014.03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420683.95</v>
      </c>
      <c r="H621" s="109">
        <f>SUM(J52)</f>
        <v>420683.95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679253.83</v>
      </c>
      <c r="H622" s="109">
        <f>F476</f>
        <v>679253.82999999821</v>
      </c>
      <c r="I622" s="121" t="s">
        <v>101</v>
      </c>
      <c r="J622" s="109">
        <f t="shared" ref="J622:J655" si="50">G622-H622</f>
        <v>1.7462298274040222E-9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4669.87</v>
      </c>
      <c r="H624" s="109">
        <f>H476</f>
        <v>4669.8699999999953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420683.95</v>
      </c>
      <c r="H626" s="109">
        <f>J476</f>
        <v>420683.94999999995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10689205.690000001</v>
      </c>
      <c r="H627" s="104">
        <f>SUM(F468)</f>
        <v>10689205.689999999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285933.94</v>
      </c>
      <c r="H628" s="104">
        <f>SUM(G468)</f>
        <v>285933.94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727530.89000000013</v>
      </c>
      <c r="H629" s="104">
        <f>SUM(H468)</f>
        <v>727530.89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151800</v>
      </c>
      <c r="H630" s="104">
        <f>SUM(I468)</f>
        <v>151800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122986.28</v>
      </c>
      <c r="H631" s="104">
        <f>SUM(J468)</f>
        <v>122986.28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10627468.879999997</v>
      </c>
      <c r="H632" s="104">
        <f>SUM(F472)</f>
        <v>10627468.880000001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724346.21</v>
      </c>
      <c r="H633" s="104">
        <f>SUM(H472)</f>
        <v>724346.21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285933.94</v>
      </c>
      <c r="H635" s="104">
        <f>SUM(G472)</f>
        <v>285933.94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151800</v>
      </c>
      <c r="H636" s="104">
        <f>SUM(I472)</f>
        <v>151800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122986.28</v>
      </c>
      <c r="H637" s="164">
        <f>SUM(J468)</f>
        <v>122986.28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151800</v>
      </c>
      <c r="H638" s="164">
        <f>SUM(J472)</f>
        <v>151800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32542.49</v>
      </c>
      <c r="H639" s="104">
        <f>SUM(F461)</f>
        <v>32542.49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388141.46</v>
      </c>
      <c r="H640" s="104">
        <f>SUM(G461)</f>
        <v>388141.46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420683.95</v>
      </c>
      <c r="H642" s="104">
        <f>SUM(I461)</f>
        <v>420683.95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22986.28</v>
      </c>
      <c r="H644" s="104">
        <f>H408</f>
        <v>22986.28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100000</v>
      </c>
      <c r="H645" s="104">
        <f>G408</f>
        <v>100000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122986.28</v>
      </c>
      <c r="H646" s="104">
        <f>L408</f>
        <v>122986.28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362296.49999999994</v>
      </c>
      <c r="H647" s="104">
        <f>L208+L226+L244</f>
        <v>362296.5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227159.12</v>
      </c>
      <c r="H648" s="104">
        <f>(J257+J338)-(J255+J336)</f>
        <v>227159.12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138038.57</v>
      </c>
      <c r="H649" s="104">
        <f>H598</f>
        <v>138038.57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91309.66</v>
      </c>
      <c r="H650" s="104">
        <f>I598</f>
        <v>91309.66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132948.26999999999</v>
      </c>
      <c r="H651" s="104">
        <f>J598</f>
        <v>132948.26999999999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10172.58</v>
      </c>
      <c r="H652" s="104">
        <f>K263+K345</f>
        <v>10172.58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20556.43</v>
      </c>
      <c r="H653" s="104">
        <f>K264</f>
        <v>20556.43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100000</v>
      </c>
      <c r="H655" s="104">
        <f>K266+K347</f>
        <v>100000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4469321.8099999996</v>
      </c>
      <c r="G660" s="19">
        <f>(L229+L309+L359)</f>
        <v>2807147.99</v>
      </c>
      <c r="H660" s="19">
        <f>(L247+L328+L360)</f>
        <v>3190327.1199999992</v>
      </c>
      <c r="I660" s="19">
        <f>SUM(F660:H660)</f>
        <v>10466796.919999998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49053.528042979095</v>
      </c>
      <c r="G661" s="19">
        <f>(L359/IF(SUM(L358:L360)=0,1,SUM(L358:L360))*(SUM(G97:G110)))</f>
        <v>26092.304325058092</v>
      </c>
      <c r="H661" s="19">
        <f>(L360/IF(SUM(L358:L360)=0,1,SUM(L358:L360))*(SUM(G97:G110)))</f>
        <v>29223.377631962823</v>
      </c>
      <c r="I661" s="19">
        <f>SUM(F661:H661)</f>
        <v>104369.21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138038.57</v>
      </c>
      <c r="G662" s="19">
        <f>(L226+L306)-(J226+J306)</f>
        <v>91309.66</v>
      </c>
      <c r="H662" s="19">
        <f>(L244+L325)-(J244+J325)</f>
        <v>116619.26999999999</v>
      </c>
      <c r="I662" s="19">
        <f>SUM(F662:H662)</f>
        <v>345967.5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296268.52</v>
      </c>
      <c r="G663" s="199">
        <f>SUM(G575:G587)+SUM(I602:I604)+L612</f>
        <v>209226.53000000003</v>
      </c>
      <c r="H663" s="199">
        <f>SUM(H575:H587)+SUM(J602:J604)+L613</f>
        <v>312442.21000000008</v>
      </c>
      <c r="I663" s="19">
        <f>SUM(F663:H663)</f>
        <v>817937.26000000013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3985961.1919570202</v>
      </c>
      <c r="G664" s="19">
        <f>G660-SUM(G661:G663)</f>
        <v>2480519.4956749422</v>
      </c>
      <c r="H664" s="19">
        <f>H660-SUM(H661:H663)</f>
        <v>2732042.2623680364</v>
      </c>
      <c r="I664" s="19">
        <f>I660-SUM(I661:I663)</f>
        <v>9198522.9499999974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245.62</v>
      </c>
      <c r="G665" s="248">
        <v>129.38999999999999</v>
      </c>
      <c r="H665" s="248">
        <v>148.27000000000001</v>
      </c>
      <c r="I665" s="19">
        <f>SUM(F665:H665)</f>
        <v>523.28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16228.16</v>
      </c>
      <c r="G667" s="19">
        <f>ROUND(G664/G665,2)</f>
        <v>19170.87</v>
      </c>
      <c r="H667" s="19">
        <f>ROUND(H664/H665,2)</f>
        <v>18426.13</v>
      </c>
      <c r="I667" s="19">
        <f>ROUND(I664/I665,2)</f>
        <v>17578.59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-1.41</v>
      </c>
      <c r="I670" s="19">
        <f>SUM(F670:H670)</f>
        <v>-1.41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16228.16</v>
      </c>
      <c r="G672" s="19">
        <f>ROUND((G664+G669)/(G665+G670),2)</f>
        <v>19170.87</v>
      </c>
      <c r="H672" s="19">
        <f>ROUND((H664+H669)/(H665+H670),2)</f>
        <v>18603.04</v>
      </c>
      <c r="I672" s="19">
        <f>ROUND((I664+I669)/(I665+I670),2)</f>
        <v>17626.080000000002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H656" sqref="H65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HINSDALE SAU92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2462914.54</v>
      </c>
      <c r="C9" s="229">
        <f>'DOE25'!G197+'DOE25'!G215+'DOE25'!G233+'DOE25'!G276+'DOE25'!G295+'DOE25'!G314</f>
        <v>1185882.2</v>
      </c>
    </row>
    <row r="10" spans="1:3" x14ac:dyDescent="0.2">
      <c r="A10" t="s">
        <v>779</v>
      </c>
      <c r="B10" s="240">
        <v>2321272.65</v>
      </c>
      <c r="C10" s="240">
        <v>1171816.1599999999</v>
      </c>
    </row>
    <row r="11" spans="1:3" x14ac:dyDescent="0.2">
      <c r="A11" t="s">
        <v>780</v>
      </c>
      <c r="B11" s="240">
        <v>71869.84</v>
      </c>
      <c r="C11" s="240">
        <v>8728.48</v>
      </c>
    </row>
    <row r="12" spans="1:3" x14ac:dyDescent="0.2">
      <c r="A12" t="s">
        <v>781</v>
      </c>
      <c r="B12" s="240">
        <v>69772.05</v>
      </c>
      <c r="C12" s="240">
        <v>5337.56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2462914.5399999996</v>
      </c>
      <c r="C13" s="231">
        <f>SUM(C10:C12)</f>
        <v>1185882.2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956375.93</v>
      </c>
      <c r="C18" s="229">
        <f>'DOE25'!G198+'DOE25'!G216+'DOE25'!G234+'DOE25'!G277+'DOE25'!G296+'DOE25'!G315</f>
        <v>275186.49</v>
      </c>
    </row>
    <row r="19" spans="1:3" x14ac:dyDescent="0.2">
      <c r="A19" t="s">
        <v>779</v>
      </c>
      <c r="B19" s="240">
        <v>359653.23</v>
      </c>
      <c r="C19" s="240">
        <v>229537.2</v>
      </c>
    </row>
    <row r="20" spans="1:3" x14ac:dyDescent="0.2">
      <c r="A20" t="s">
        <v>780</v>
      </c>
      <c r="B20" s="240">
        <v>576770.18999999994</v>
      </c>
      <c r="C20" s="240">
        <v>44122.92</v>
      </c>
    </row>
    <row r="21" spans="1:3" x14ac:dyDescent="0.2">
      <c r="A21" t="s">
        <v>781</v>
      </c>
      <c r="B21" s="240">
        <v>19952.509999999998</v>
      </c>
      <c r="C21" s="240">
        <v>1526.37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956375.92999999993</v>
      </c>
      <c r="C22" s="231">
        <f>SUM(C19:C21)</f>
        <v>275186.49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11375</v>
      </c>
      <c r="C27" s="234">
        <f>'DOE25'!G199+'DOE25'!G217+'DOE25'!G235+'DOE25'!G278+'DOE25'!G297+'DOE25'!G316</f>
        <v>870.21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11375</v>
      </c>
      <c r="C30" s="240">
        <v>870.21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11375</v>
      </c>
      <c r="C31" s="231">
        <f>SUM(C28:C30)</f>
        <v>870.21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91655.94</v>
      </c>
      <c r="C36" s="235">
        <f>'DOE25'!G200+'DOE25'!G218+'DOE25'!G236+'DOE25'!G279+'DOE25'!G298+'DOE25'!G317</f>
        <v>13016.11</v>
      </c>
    </row>
    <row r="37" spans="1:3" x14ac:dyDescent="0.2">
      <c r="A37" t="s">
        <v>779</v>
      </c>
      <c r="B37" s="240">
        <v>30880.63</v>
      </c>
      <c r="C37" s="240">
        <v>3551.96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60775.31</v>
      </c>
      <c r="C39" s="240">
        <v>9464.15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91655.94</v>
      </c>
      <c r="C40" s="231">
        <f>SUM(C37:C39)</f>
        <v>13016.11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H656" sqref="H656"/>
      <selection pane="bottomLeft" activeCell="H656" sqref="H65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HINSDALE SAU92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5326466.2299999986</v>
      </c>
      <c r="D5" s="20">
        <f>SUM('DOE25'!L197:L200)+SUM('DOE25'!L215:L218)+SUM('DOE25'!L233:L236)-F5-G5</f>
        <v>5315126.9799999986</v>
      </c>
      <c r="E5" s="243"/>
      <c r="F5" s="255">
        <f>SUM('DOE25'!J197:J200)+SUM('DOE25'!J215:J218)+SUM('DOE25'!J233:J236)</f>
        <v>2298.1999999999998</v>
      </c>
      <c r="G5" s="53">
        <f>SUM('DOE25'!K197:K200)+SUM('DOE25'!K215:K218)+SUM('DOE25'!K233:K236)</f>
        <v>9041.0499999999993</v>
      </c>
      <c r="H5" s="259"/>
    </row>
    <row r="6" spans="1:9" x14ac:dyDescent="0.2">
      <c r="A6" s="32">
        <v>2100</v>
      </c>
      <c r="B6" t="s">
        <v>801</v>
      </c>
      <c r="C6" s="245">
        <f t="shared" si="0"/>
        <v>894327.70000000007</v>
      </c>
      <c r="D6" s="20">
        <f>'DOE25'!L202+'DOE25'!L220+'DOE25'!L238-F6-G6</f>
        <v>893337.70000000007</v>
      </c>
      <c r="E6" s="243"/>
      <c r="F6" s="255">
        <f>'DOE25'!J202+'DOE25'!J220+'DOE25'!J238</f>
        <v>0</v>
      </c>
      <c r="G6" s="53">
        <f>'DOE25'!K202+'DOE25'!K220+'DOE25'!K238</f>
        <v>990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140391.08000000002</v>
      </c>
      <c r="D7" s="20">
        <f>'DOE25'!L203+'DOE25'!L221+'DOE25'!L239-F7-G7</f>
        <v>140317.08000000002</v>
      </c>
      <c r="E7" s="243"/>
      <c r="F7" s="255">
        <f>'DOE25'!J203+'DOE25'!J221+'DOE25'!J239</f>
        <v>0</v>
      </c>
      <c r="G7" s="53">
        <f>'DOE25'!K203+'DOE25'!K221+'DOE25'!K239</f>
        <v>74</v>
      </c>
      <c r="H7" s="259"/>
    </row>
    <row r="8" spans="1:9" x14ac:dyDescent="0.2">
      <c r="A8" s="32">
        <v>2300</v>
      </c>
      <c r="B8" t="s">
        <v>802</v>
      </c>
      <c r="C8" s="245">
        <f t="shared" si="0"/>
        <v>533206.57999999996</v>
      </c>
      <c r="D8" s="243"/>
      <c r="E8" s="20">
        <f>'DOE25'!L204+'DOE25'!L222+'DOE25'!L240-F8-G8-D9-D11</f>
        <v>523831.88</v>
      </c>
      <c r="F8" s="255">
        <f>'DOE25'!J204+'DOE25'!J222+'DOE25'!J240</f>
        <v>0</v>
      </c>
      <c r="G8" s="53">
        <f>'DOE25'!K204+'DOE25'!K222+'DOE25'!K240</f>
        <v>9374.7000000000007</v>
      </c>
      <c r="H8" s="259"/>
    </row>
    <row r="9" spans="1:9" x14ac:dyDescent="0.2">
      <c r="A9" s="32">
        <v>2310</v>
      </c>
      <c r="B9" t="s">
        <v>818</v>
      </c>
      <c r="C9" s="245">
        <f t="shared" si="0"/>
        <v>43996.68</v>
      </c>
      <c r="D9" s="244">
        <v>43996.68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16905.79</v>
      </c>
      <c r="D10" s="243"/>
      <c r="E10" s="244">
        <v>16905.79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158521.17000000001</v>
      </c>
      <c r="D11" s="244">
        <v>158521.17000000001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757176.44</v>
      </c>
      <c r="D12" s="20">
        <f>'DOE25'!L205+'DOE25'!L223+'DOE25'!L241-F12-G12</f>
        <v>753358.55999999994</v>
      </c>
      <c r="E12" s="243"/>
      <c r="F12" s="255">
        <f>'DOE25'!J205+'DOE25'!J223+'DOE25'!J241</f>
        <v>0</v>
      </c>
      <c r="G12" s="53">
        <f>'DOE25'!K205+'DOE25'!K223+'DOE25'!K241</f>
        <v>3817.88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1031168.6699999999</v>
      </c>
      <c r="D14" s="20">
        <f>'DOE25'!L207+'DOE25'!L225+'DOE25'!L243-F14-G14</f>
        <v>972694.86999999988</v>
      </c>
      <c r="E14" s="243"/>
      <c r="F14" s="255">
        <f>'DOE25'!J207+'DOE25'!J225+'DOE25'!J243</f>
        <v>58473.8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362296.5</v>
      </c>
      <c r="D15" s="20">
        <f>'DOE25'!L208+'DOE25'!L226+'DOE25'!L244-F15-G15</f>
        <v>345967.5</v>
      </c>
      <c r="E15" s="243"/>
      <c r="F15" s="255">
        <f>'DOE25'!J208+'DOE25'!J226+'DOE25'!J244</f>
        <v>16329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236715.32</v>
      </c>
      <c r="D16" s="243"/>
      <c r="E16" s="20">
        <f>'DOE25'!L209+'DOE25'!L227+'DOE25'!L245-F16-G16</f>
        <v>86527.200000000012</v>
      </c>
      <c r="F16" s="255">
        <f>'DOE25'!J209+'DOE25'!J227+'DOE25'!J245</f>
        <v>150058.12</v>
      </c>
      <c r="G16" s="53">
        <f>'DOE25'!K209+'DOE25'!K227+'DOE25'!K245</f>
        <v>130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1012473.5</v>
      </c>
      <c r="D25" s="243"/>
      <c r="E25" s="243"/>
      <c r="F25" s="258"/>
      <c r="G25" s="256"/>
      <c r="H25" s="257">
        <f>'DOE25'!L260+'DOE25'!L261+'DOE25'!L341+'DOE25'!L342</f>
        <v>1012473.5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285933.94</v>
      </c>
      <c r="D29" s="20">
        <f>'DOE25'!L358+'DOE25'!L359+'DOE25'!L360-'DOE25'!I367-F29-G29</f>
        <v>285933.94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696596.60999999987</v>
      </c>
      <c r="D31" s="20">
        <f>'DOE25'!L290+'DOE25'!L309+'DOE25'!L328+'DOE25'!L333+'DOE25'!L334+'DOE25'!L335-F31-G31</f>
        <v>670824.41999999993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25772.190000000002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9580078.8999999985</v>
      </c>
      <c r="E33" s="246">
        <f>SUM(E5:E31)</f>
        <v>627264.87000000011</v>
      </c>
      <c r="F33" s="246">
        <f>SUM(F5:F31)</f>
        <v>227159.12</v>
      </c>
      <c r="G33" s="246">
        <f>SUM(G5:G31)</f>
        <v>49199.820000000007</v>
      </c>
      <c r="H33" s="246">
        <f>SUM(H5:H31)</f>
        <v>1012473.5</v>
      </c>
    </row>
    <row r="35" spans="2:8" ht="12" thickBot="1" x14ac:dyDescent="0.25">
      <c r="B35" s="253" t="s">
        <v>847</v>
      </c>
      <c r="D35" s="254">
        <f>E33</f>
        <v>627264.87000000011</v>
      </c>
      <c r="E35" s="249"/>
    </row>
    <row r="36" spans="2:8" ht="12" thickTop="1" x14ac:dyDescent="0.2">
      <c r="B36" t="s">
        <v>815</v>
      </c>
      <c r="D36" s="20">
        <f>D33</f>
        <v>9580078.8999999985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3" sqref="A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HINSDALE SAU92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1459292.77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57783.16</v>
      </c>
      <c r="D11" s="95">
        <f>'DOE25'!G12</f>
        <v>2954.85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15341.86</v>
      </c>
      <c r="D12" s="95">
        <f>'DOE25'!G13</f>
        <v>11568.03</v>
      </c>
      <c r="E12" s="95">
        <f>'DOE25'!H13</f>
        <v>73014.03</v>
      </c>
      <c r="F12" s="95">
        <f>'DOE25'!I13</f>
        <v>0</v>
      </c>
      <c r="G12" s="95">
        <f>'DOE25'!J13</f>
        <v>420683.95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494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263.26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1532417.79</v>
      </c>
      <c r="D18" s="41">
        <f>SUM(D8:D17)</f>
        <v>15280.140000000001</v>
      </c>
      <c r="E18" s="41">
        <f>SUM(E8:E17)</f>
        <v>73014.03</v>
      </c>
      <c r="F18" s="41">
        <f>SUM(F8:F17)</f>
        <v>0</v>
      </c>
      <c r="G18" s="41">
        <f>SUM(G8:G17)</f>
        <v>420683.95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60738.01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92676.85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100443.72</v>
      </c>
      <c r="D23" s="95">
        <f>'DOE25'!G24</f>
        <v>15280.14</v>
      </c>
      <c r="E23" s="95">
        <f>'DOE25'!H24</f>
        <v>7606.15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660043.39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853163.96</v>
      </c>
      <c r="D31" s="41">
        <f>SUM(D21:D30)</f>
        <v>15280.14</v>
      </c>
      <c r="E31" s="41">
        <f>SUM(E21:E30)</f>
        <v>68344.160000000003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4669.87</v>
      </c>
      <c r="F47" s="95">
        <f>'DOE25'!I48</f>
        <v>0</v>
      </c>
      <c r="G47" s="95">
        <f>'DOE25'!J48</f>
        <v>420683.95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629253.82999999996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679253.83</v>
      </c>
      <c r="D50" s="41">
        <f>SUM(D34:D49)</f>
        <v>0</v>
      </c>
      <c r="E50" s="41">
        <f>SUM(E34:E49)</f>
        <v>4669.87</v>
      </c>
      <c r="F50" s="41">
        <f>SUM(F34:F49)</f>
        <v>0</v>
      </c>
      <c r="G50" s="41">
        <f>SUM(G34:G49)</f>
        <v>420683.95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1532417.79</v>
      </c>
      <c r="D51" s="41">
        <f>D50+D31</f>
        <v>15280.14</v>
      </c>
      <c r="E51" s="41">
        <f>E50+E31</f>
        <v>73014.03</v>
      </c>
      <c r="F51" s="41">
        <f>F50+F31</f>
        <v>0</v>
      </c>
      <c r="G51" s="41">
        <f>G50+G31</f>
        <v>420683.95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4828117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68394.86</v>
      </c>
      <c r="D57" s="24" t="s">
        <v>289</v>
      </c>
      <c r="E57" s="95">
        <f>'DOE25'!H79</f>
        <v>23965.66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22986.28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104369.21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101726.98000000001</v>
      </c>
      <c r="D61" s="95">
        <f>SUM('DOE25'!G98:G110)</f>
        <v>0</v>
      </c>
      <c r="E61" s="95">
        <f>SUM('DOE25'!H98:H110)</f>
        <v>13400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170121.84000000003</v>
      </c>
      <c r="D62" s="130">
        <f>SUM(D57:D61)</f>
        <v>104369.21</v>
      </c>
      <c r="E62" s="130">
        <f>SUM(E57:E61)</f>
        <v>37365.660000000003</v>
      </c>
      <c r="F62" s="130">
        <f>SUM(F57:F61)</f>
        <v>0</v>
      </c>
      <c r="G62" s="130">
        <f>SUM(G57:G61)</f>
        <v>22986.28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4998238.84</v>
      </c>
      <c r="D63" s="22">
        <f>D56+D62</f>
        <v>104369.21</v>
      </c>
      <c r="E63" s="22">
        <f>E56+E62</f>
        <v>37365.660000000003</v>
      </c>
      <c r="F63" s="22">
        <f>F56+F62</f>
        <v>0</v>
      </c>
      <c r="G63" s="22">
        <f>G56+G62</f>
        <v>22986.28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4362522.2699999996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591518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4954040.2699999996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462802.58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151789.84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11511.27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614592.42000000004</v>
      </c>
      <c r="D78" s="130">
        <f>SUM(D72:D77)</f>
        <v>11511.27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5568632.6899999995</v>
      </c>
      <c r="D81" s="130">
        <f>SUM(D79:D80)+D78+D70</f>
        <v>11511.27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135259.34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94584.56</v>
      </c>
      <c r="D88" s="95">
        <f>SUM('DOE25'!G153:G161)</f>
        <v>159880.88</v>
      </c>
      <c r="E88" s="95">
        <f>SUM('DOE25'!H153:H161)</f>
        <v>534349.46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94584.56</v>
      </c>
      <c r="D91" s="131">
        <f>SUM(D85:D90)</f>
        <v>159880.88</v>
      </c>
      <c r="E91" s="131">
        <f>SUM(E85:E90)</f>
        <v>669608.79999999993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10172.58</v>
      </c>
      <c r="E96" s="95">
        <f>'DOE25'!H179</f>
        <v>20556.43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758</v>
      </c>
      <c r="B97" s="32" t="s">
        <v>188</v>
      </c>
      <c r="C97" s="95">
        <f>SUM('DOE25'!F180:F181)</f>
        <v>27749.599999999999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151800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27749.599999999999</v>
      </c>
      <c r="D103" s="86">
        <f>SUM(D93:D102)</f>
        <v>10172.58</v>
      </c>
      <c r="E103" s="86">
        <f>SUM(E93:E102)</f>
        <v>20556.43</v>
      </c>
      <c r="F103" s="86">
        <f>SUM(F93:F102)</f>
        <v>151800</v>
      </c>
      <c r="G103" s="86">
        <f>SUM(G93:G102)</f>
        <v>100000</v>
      </c>
    </row>
    <row r="104" spans="1:7" ht="12.75" thickTop="1" thickBot="1" x14ac:dyDescent="0.25">
      <c r="A104" s="33" t="s">
        <v>765</v>
      </c>
      <c r="C104" s="86">
        <f>C63+C81+C91+C103</f>
        <v>10689205.689999999</v>
      </c>
      <c r="D104" s="86">
        <f>D63+D81+D91+D103</f>
        <v>285933.94</v>
      </c>
      <c r="E104" s="86">
        <f>E63+E81+E91+E103</f>
        <v>727530.89</v>
      </c>
      <c r="F104" s="86">
        <f>F63+F81+F91+F103</f>
        <v>151800</v>
      </c>
      <c r="G104" s="86">
        <f>G63+G81+G103</f>
        <v>122986.28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3439666.17</v>
      </c>
      <c r="D109" s="24" t="s">
        <v>289</v>
      </c>
      <c r="E109" s="95">
        <f>('DOE25'!L276)+('DOE25'!L295)+('DOE25'!L314)</f>
        <v>450772.05000000005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1681673.9999999998</v>
      </c>
      <c r="D110" s="24" t="s">
        <v>289</v>
      </c>
      <c r="E110" s="95">
        <f>('DOE25'!L277)+('DOE25'!L296)+('DOE25'!L315)</f>
        <v>122863.58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47811.7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157314.35999999999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5326466.2300000004</v>
      </c>
      <c r="D115" s="86">
        <f>SUM(D109:D114)</f>
        <v>0</v>
      </c>
      <c r="E115" s="86">
        <f>SUM(E109:E114)</f>
        <v>573635.63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894327.70000000007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140391.08000000002</v>
      </c>
      <c r="D119" s="24" t="s">
        <v>289</v>
      </c>
      <c r="E119" s="95">
        <f>+('DOE25'!L282)+('DOE25'!L301)+('DOE25'!L320)</f>
        <v>109560.98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735724.43</v>
      </c>
      <c r="D120" s="24" t="s">
        <v>289</v>
      </c>
      <c r="E120" s="95">
        <f>+('DOE25'!L283)+('DOE25'!L302)+('DOE25'!L321)</f>
        <v>13400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757176.44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1031168.6699999999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362296.5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236715.32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285933.94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4157800.1399999997</v>
      </c>
      <c r="D128" s="86">
        <f>SUM(D118:D127)</f>
        <v>285933.94</v>
      </c>
      <c r="E128" s="86">
        <f>SUM(E118:E127)</f>
        <v>122960.98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151800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650000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362473.5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27749.599999999999</v>
      </c>
      <c r="F134" s="95">
        <f>'DOE25'!K381</f>
        <v>0</v>
      </c>
      <c r="G134" s="95">
        <f>'DOE25'!K434</f>
        <v>151800</v>
      </c>
    </row>
    <row r="135" spans="1:7" x14ac:dyDescent="0.2">
      <c r="A135" t="s">
        <v>233</v>
      </c>
      <c r="B135" s="32" t="s">
        <v>234</v>
      </c>
      <c r="C135" s="95">
        <f>'DOE25'!L263</f>
        <v>10172.58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20556.43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3.65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122982.63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-22986.28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1143202.51</v>
      </c>
      <c r="D144" s="141">
        <f>SUM(D130:D143)</f>
        <v>0</v>
      </c>
      <c r="E144" s="141">
        <f>SUM(E130:E143)</f>
        <v>27749.599999999999</v>
      </c>
      <c r="F144" s="141">
        <f>SUM(F130:F143)</f>
        <v>151800</v>
      </c>
      <c r="G144" s="141">
        <f>SUM(G130:G143)</f>
        <v>151800</v>
      </c>
    </row>
    <row r="145" spans="1:9" ht="12.75" thickTop="1" thickBot="1" x14ac:dyDescent="0.25">
      <c r="A145" s="33" t="s">
        <v>244</v>
      </c>
      <c r="C145" s="86">
        <f>(C115+C128+C144)</f>
        <v>10627468.880000001</v>
      </c>
      <c r="D145" s="86">
        <f>(D115+D128+D144)</f>
        <v>285933.94</v>
      </c>
      <c r="E145" s="86">
        <f>(E115+E128+E144)</f>
        <v>724346.21</v>
      </c>
      <c r="F145" s="86">
        <f>(F115+F128+F144)</f>
        <v>151800</v>
      </c>
      <c r="G145" s="86">
        <f>(G115+G128+G144)</f>
        <v>151800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13032960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4.04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8450000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8450000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650000</v>
      </c>
    </row>
    <row r="159" spans="1:9" x14ac:dyDescent="0.2">
      <c r="A159" s="22" t="s">
        <v>35</v>
      </c>
      <c r="B159" s="137">
        <f>'DOE25'!F498</f>
        <v>7800000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7800000</v>
      </c>
    </row>
    <row r="160" spans="1:9" x14ac:dyDescent="0.2">
      <c r="A160" s="22" t="s">
        <v>36</v>
      </c>
      <c r="B160" s="137">
        <f>'DOE25'!F499</f>
        <v>2029475.25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2029475.25</v>
      </c>
    </row>
    <row r="161" spans="1:7" x14ac:dyDescent="0.2">
      <c r="A161" s="22" t="s">
        <v>37</v>
      </c>
      <c r="B161" s="137">
        <f>'DOE25'!F500</f>
        <v>9829475.25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9829475.25</v>
      </c>
    </row>
    <row r="162" spans="1:7" x14ac:dyDescent="0.2">
      <c r="A162" s="22" t="s">
        <v>38</v>
      </c>
      <c r="B162" s="137">
        <f>'DOE25'!F501</f>
        <v>650000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650000</v>
      </c>
    </row>
    <row r="163" spans="1:7" x14ac:dyDescent="0.2">
      <c r="A163" s="22" t="s">
        <v>39</v>
      </c>
      <c r="B163" s="137">
        <f>'DOE25'!F502</f>
        <v>322973.5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322973.5</v>
      </c>
    </row>
    <row r="164" spans="1:7" x14ac:dyDescent="0.2">
      <c r="A164" s="22" t="s">
        <v>246</v>
      </c>
      <c r="B164" s="137">
        <f>'DOE25'!F503</f>
        <v>972973.5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972973.5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H656" sqref="H65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HINSDALE SAU92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16228</v>
      </c>
    </row>
    <row r="5" spans="1:4" x14ac:dyDescent="0.2">
      <c r="B5" t="s">
        <v>704</v>
      </c>
      <c r="C5" s="179">
        <f>IF('DOE25'!G665+'DOE25'!G670=0,0,ROUND('DOE25'!G672,0))</f>
        <v>19171</v>
      </c>
    </row>
    <row r="6" spans="1:4" x14ac:dyDescent="0.2">
      <c r="B6" t="s">
        <v>62</v>
      </c>
      <c r="C6" s="179">
        <f>IF('DOE25'!H665+'DOE25'!H670=0,0,ROUND('DOE25'!H672,0))</f>
        <v>18603</v>
      </c>
    </row>
    <row r="7" spans="1:4" x14ac:dyDescent="0.2">
      <c r="B7" t="s">
        <v>705</v>
      </c>
      <c r="C7" s="179">
        <f>IF('DOE25'!I665+'DOE25'!I670=0,0,ROUND('DOE25'!I672,0))</f>
        <v>17626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3890438</v>
      </c>
      <c r="D10" s="182">
        <f>ROUND((C10/$C$28)*100,1)</f>
        <v>36.299999999999997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1804538</v>
      </c>
      <c r="D11" s="182">
        <f>ROUND((C11/$C$28)*100,1)</f>
        <v>16.8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47812</v>
      </c>
      <c r="D12" s="182">
        <f>ROUND((C12/$C$28)*100,1)</f>
        <v>0.4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157314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894328</v>
      </c>
      <c r="D15" s="182">
        <f t="shared" ref="D15:D27" si="0">ROUND((C15/$C$28)*100,1)</f>
        <v>8.3000000000000007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249952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985840</v>
      </c>
      <c r="D17" s="182">
        <f t="shared" si="0"/>
        <v>9.1999999999999993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757176</v>
      </c>
      <c r="D18" s="182">
        <f t="shared" si="0"/>
        <v>7.1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1031169</v>
      </c>
      <c r="D20" s="182">
        <f t="shared" si="0"/>
        <v>9.6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362297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362474</v>
      </c>
      <c r="D25" s="182">
        <f t="shared" si="0"/>
        <v>3.4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181564.78999999998</v>
      </c>
      <c r="D27" s="182">
        <f t="shared" si="0"/>
        <v>1.7</v>
      </c>
    </row>
    <row r="28" spans="1:4" x14ac:dyDescent="0.2">
      <c r="B28" s="187" t="s">
        <v>723</v>
      </c>
      <c r="C28" s="180">
        <f>SUM(C10:C27)</f>
        <v>10724902.789999999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151800</v>
      </c>
    </row>
    <row r="30" spans="1:4" x14ac:dyDescent="0.2">
      <c r="B30" s="187" t="s">
        <v>729</v>
      </c>
      <c r="C30" s="180">
        <f>SUM(C28:C29)</f>
        <v>10876702.789999999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650000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4828117</v>
      </c>
      <c r="D35" s="182">
        <f t="shared" ref="D35:D40" si="1">ROUND((C35/$C$41)*100,1)</f>
        <v>41.8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230473.78000000119</v>
      </c>
      <c r="D36" s="182">
        <f t="shared" si="1"/>
        <v>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4954040</v>
      </c>
      <c r="D37" s="182">
        <f t="shared" si="1"/>
        <v>42.8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626104</v>
      </c>
      <c r="D38" s="182">
        <f t="shared" si="1"/>
        <v>5.4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924074</v>
      </c>
      <c r="D39" s="182">
        <f t="shared" si="1"/>
        <v>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11562808.780000001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7" sqref="A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HINSDALE SAU92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1</v>
      </c>
      <c r="B4" s="219">
        <v>18</v>
      </c>
      <c r="C4" s="284" t="s">
        <v>915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 t="s">
        <v>916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3</v>
      </c>
      <c r="B6" s="219">
        <v>24</v>
      </c>
      <c r="C6" s="284" t="s">
        <v>917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2014-08-25T12:15:28Z</cp:lastPrinted>
  <dcterms:created xsi:type="dcterms:W3CDTF">1997-12-04T19:04:30Z</dcterms:created>
  <dcterms:modified xsi:type="dcterms:W3CDTF">2014-12-05T16:12:16Z</dcterms:modified>
</cp:coreProperties>
</file>