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19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I461" i="1" s="1"/>
  <c r="H642" i="1" s="1"/>
  <c r="F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0" i="1"/>
  <c r="G643" i="1"/>
  <c r="G644" i="1"/>
  <c r="G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C18" i="2"/>
  <c r="C26" i="10"/>
  <c r="L328" i="1"/>
  <c r="H660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F78" i="2"/>
  <c r="F81" i="2" s="1"/>
  <c r="C78" i="2"/>
  <c r="C81" i="2" s="1"/>
  <c r="D50" i="2"/>
  <c r="G157" i="2"/>
  <c r="F18" i="2"/>
  <c r="G161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L433" i="1"/>
  <c r="L419" i="1"/>
  <c r="D81" i="2"/>
  <c r="I169" i="1"/>
  <c r="G552" i="1"/>
  <c r="J476" i="1"/>
  <c r="H626" i="1" s="1"/>
  <c r="H476" i="1"/>
  <c r="H624" i="1" s="1"/>
  <c r="J624" i="1" s="1"/>
  <c r="I476" i="1"/>
  <c r="H625" i="1" s="1"/>
  <c r="J625" i="1" s="1"/>
  <c r="G338" i="1"/>
  <c r="G352" i="1" s="1"/>
  <c r="J140" i="1"/>
  <c r="F571" i="1"/>
  <c r="I552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C22" i="13" s="1"/>
  <c r="J651" i="1"/>
  <c r="H571" i="1"/>
  <c r="L560" i="1"/>
  <c r="J545" i="1"/>
  <c r="H338" i="1"/>
  <c r="H352" i="1" s="1"/>
  <c r="G192" i="1"/>
  <c r="H192" i="1"/>
  <c r="F552" i="1"/>
  <c r="L309" i="1"/>
  <c r="E16" i="13"/>
  <c r="J655" i="1"/>
  <c r="I571" i="1"/>
  <c r="J636" i="1"/>
  <c r="G36" i="2"/>
  <c r="L565" i="1"/>
  <c r="G545" i="1"/>
  <c r="H545" i="1"/>
  <c r="K551" i="1"/>
  <c r="C138" i="2"/>
  <c r="C16" i="13"/>
  <c r="J641" i="1" l="1"/>
  <c r="K605" i="1"/>
  <c r="G648" i="1" s="1"/>
  <c r="K500" i="1"/>
  <c r="I257" i="1"/>
  <c r="I271" i="1" s="1"/>
  <c r="H52" i="1"/>
  <c r="H619" i="1" s="1"/>
  <c r="L270" i="1"/>
  <c r="C35" i="10"/>
  <c r="E109" i="2"/>
  <c r="C118" i="2"/>
  <c r="H257" i="1"/>
  <c r="H271" i="1" s="1"/>
  <c r="G81" i="2"/>
  <c r="C62" i="2"/>
  <c r="G112" i="1"/>
  <c r="C32" i="10"/>
  <c r="C20" i="10"/>
  <c r="C110" i="2"/>
  <c r="I545" i="1"/>
  <c r="F476" i="1"/>
  <c r="H622" i="1" s="1"/>
  <c r="J644" i="1"/>
  <c r="G408" i="1"/>
  <c r="H645" i="1" s="1"/>
  <c r="G257" i="1"/>
  <c r="G271" i="1" s="1"/>
  <c r="G164" i="2"/>
  <c r="G156" i="2"/>
  <c r="K549" i="1"/>
  <c r="K552" i="1" s="1"/>
  <c r="E120" i="2"/>
  <c r="D127" i="2"/>
  <c r="D128" i="2" s="1"/>
  <c r="C18" i="10"/>
  <c r="F338" i="1"/>
  <c r="F352" i="1" s="1"/>
  <c r="J257" i="1"/>
  <c r="J271" i="1" s="1"/>
  <c r="F257" i="1"/>
  <c r="F271" i="1" s="1"/>
  <c r="D31" i="2"/>
  <c r="C112" i="2"/>
  <c r="K598" i="1"/>
  <c r="G647" i="1" s="1"/>
  <c r="J647" i="1" s="1"/>
  <c r="J649" i="1"/>
  <c r="L529" i="1"/>
  <c r="L524" i="1"/>
  <c r="K503" i="1"/>
  <c r="J640" i="1"/>
  <c r="J645" i="1"/>
  <c r="J634" i="1"/>
  <c r="H661" i="1"/>
  <c r="D29" i="13"/>
  <c r="C29" i="13" s="1"/>
  <c r="H664" i="1"/>
  <c r="H672" i="1" s="1"/>
  <c r="C6" i="10" s="1"/>
  <c r="G661" i="1"/>
  <c r="F661" i="1"/>
  <c r="L362" i="1"/>
  <c r="C27" i="10" s="1"/>
  <c r="E128" i="2"/>
  <c r="E115" i="2"/>
  <c r="H25" i="13"/>
  <c r="C121" i="2"/>
  <c r="C128" i="2" s="1"/>
  <c r="C17" i="10"/>
  <c r="E33" i="13"/>
  <c r="D35" i="13" s="1"/>
  <c r="C15" i="10"/>
  <c r="D6" i="13"/>
  <c r="C6" i="13" s="1"/>
  <c r="L211" i="1"/>
  <c r="L257" i="1" s="1"/>
  <c r="L271" i="1" s="1"/>
  <c r="G632" i="1" s="1"/>
  <c r="J632" i="1" s="1"/>
  <c r="D5" i="13"/>
  <c r="C5" i="13" s="1"/>
  <c r="C109" i="2"/>
  <c r="C115" i="2" s="1"/>
  <c r="C10" i="10"/>
  <c r="F112" i="1"/>
  <c r="C56" i="2"/>
  <c r="C63" i="2" s="1"/>
  <c r="J622" i="1"/>
  <c r="D145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I663" i="1"/>
  <c r="E145" i="2" l="1"/>
  <c r="L545" i="1"/>
  <c r="F33" i="13"/>
  <c r="I193" i="1"/>
  <c r="G630" i="1" s="1"/>
  <c r="J630" i="1" s="1"/>
  <c r="C104" i="2"/>
  <c r="H646" i="1"/>
  <c r="J646" i="1" s="1"/>
  <c r="G635" i="1"/>
  <c r="J635" i="1" s="1"/>
  <c r="I661" i="1"/>
  <c r="H667" i="1"/>
  <c r="G664" i="1"/>
  <c r="C25" i="13"/>
  <c r="H33" i="13"/>
  <c r="F660" i="1"/>
  <c r="F664" i="1" s="1"/>
  <c r="F672" i="1" s="1"/>
  <c r="C4" i="10" s="1"/>
  <c r="C28" i="10"/>
  <c r="D19" i="10" s="1"/>
  <c r="C145" i="2"/>
  <c r="F193" i="1"/>
  <c r="G627" i="1" s="1"/>
  <c r="J627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67" i="1" l="1"/>
  <c r="G672" i="1"/>
  <c r="C5" i="10" s="1"/>
  <c r="D10" i="10"/>
  <c r="F667" i="1"/>
  <c r="I660" i="1"/>
  <c r="I664" i="1" s="1"/>
  <c r="I672" i="1" s="1"/>
  <c r="C7" i="10" s="1"/>
  <c r="D23" i="10"/>
  <c r="D16" i="10"/>
  <c r="D22" i="10"/>
  <c r="D26" i="10"/>
  <c r="D11" i="10"/>
  <c r="C30" i="10"/>
  <c r="D13" i="10"/>
  <c r="D21" i="10"/>
  <c r="D27" i="10"/>
  <c r="D18" i="10"/>
  <c r="D17" i="10"/>
  <c r="D12" i="10"/>
  <c r="D24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<sst xmlns="http://schemas.openxmlformats.org/spreadsheetml/2006/main" count="3956" uniqueCount="914">
  <si>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</si>
  <si>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</si>
  <si>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</si>
  <si>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</si>
  <si>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</si>
  <si>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</si>
  <si>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</si>
  <si>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</si>
  <si>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</si>
  <si>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</si>
  <si>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</si>
  <si>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</si>
  <si>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</si>
  <si>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</si>
  <si>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</si>
  <si>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</si>
  <si>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</si>
  <si>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</si>
  <si>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</si>
  <si>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</si>
  <si>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</si>
  <si>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</si>
  <si>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</si>
  <si>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</si>
  <si>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</si>
  <si>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</si>
  <si>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</si>
  <si>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</si>
  <si>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</si>
  <si>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</si>
  <si>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</si>
  <si>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</si>
  <si>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</si>
  <si>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</si>
  <si>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</si>
  <si>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</si>
  <si>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</si>
  <si>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</si>
  <si>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</si>
  <si>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</si>
  <si>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</si>
  <si>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</si>
  <si>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</si>
  <si>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</si>
  <si>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</si>
  <si>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</si>
  <si>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</si>
  <si>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</si>
  <si>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</si>
  <si>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</si>
  <si>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</si>
  <si>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</si>
  <si>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</si>
  <si>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</si>
  <si>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</si>
  <si>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</si>
  <si>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</si>
  <si>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</si>
  <si>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</si>
  <si>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</si>
  <si>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</si>
  <si>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</si>
  <si>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</si>
  <si>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</si>
  <si>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</si>
  <si>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</si>
  <si>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</si>
  <si>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</si>
  <si>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</si>
  <si>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</si>
  <si>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</si>
  <si>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</si>
  <si>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</si>
  <si>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</si>
  <si>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</si>
  <si>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</si>
  <si>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</si>
  <si>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</si>
  <si>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</si>
  <si>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</si>
  <si>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</si>
  <si>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</si>
  <si>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</si>
  <si>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</si>
  <si>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</si>
  <si>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</si>
  <si>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</si>
  <si>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</si>
  <si>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</si>
  <si>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</si>
  <si>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</si>
  <si>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</si>
  <si>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</si>
  <si>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</si>
  <si>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</si>
  <si>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</si>
  <si>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</si>
  <si>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</si>
  <si>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</si>
  <si>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</si>
  <si>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</si>
  <si>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</si>
  <si>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</si>
  <si>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</si>
  <si>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</si>
  <si>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</si>
  <si>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</si>
  <si>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</si>
  <si>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</si>
  <si>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</si>
  <si>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</si>
  <si>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</si>
  <si>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</si>
  <si>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</si>
  <si>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</si>
  <si>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</si>
  <si>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</si>
  <si>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</si>
  <si>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</si>
  <si>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</si>
  <si>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</si>
  <si>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</si>
  <si>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</si>
  <si>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</si>
  <si>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</si>
  <si>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</si>
  <si>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</si>
  <si>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</si>
  <si>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</si>
  <si>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</si>
  <si>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</si>
  <si>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</si>
  <si>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</si>
  <si>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</si>
  <si>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</si>
  <si>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</si>
  <si>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</si>
  <si>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</si>
  <si>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</si>
  <si>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</si>
  <si>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</si>
  <si>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</si>
  <si>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</si>
  <si>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</si>
  <si>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</si>
  <si>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</si>
  <si>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</si>
  <si>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</si>
  <si>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</si>
  <si>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</si>
  <si>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</si>
  <si>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</si>
  <si>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</si>
  <si>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</si>
  <si>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</si>
  <si>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</si>
  <si>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</si>
  <si>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</si>
  <si>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</si>
  <si>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</si>
  <si>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</si>
  <si>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</si>
  <si>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</si>
  <si>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</si>
  <si>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</si>
  <si>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</si>
  <si>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</si>
  <si>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</si>
  <si>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</si>
  <si>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</si>
  <si>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</si>
  <si>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</si>
  <si>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</si>
  <si>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</si>
  <si>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</si>
  <si>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</si>
  <si>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</si>
  <si>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</si>
  <si>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</si>
  <si>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</si>
  <si>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</si>
  <si>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</si>
  <si>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</si>
  <si>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</si>
  <si>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</si>
  <si>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</si>
  <si>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</si>
  <si>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</si>
  <si>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</si>
  <si>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</si>
  <si>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</si>
  <si>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</si>
  <si>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</si>
  <si>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</si>
  <si>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</si>
  <si>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</si>
  <si>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</si>
  <si>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</si>
  <si>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</si>
  <si>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</si>
  <si>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</si>
  <si>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</si>
  <si>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</si>
  <si>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</si>
  <si>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</si>
  <si>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</si>
  <si>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</si>
  <si>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</si>
  <si>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</si>
  <si>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</si>
  <si>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</si>
  <si>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</si>
  <si>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</si>
  <si>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</si>
  <si>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</si>
  <si>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</si>
  <si>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</si>
  <si>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</si>
  <si>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</si>
  <si>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</si>
  <si>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</si>
  <si>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</si>
  <si>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</si>
  <si>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</si>
  <si>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</si>
  <si>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</si>
  <si>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</si>
  <si>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</si>
  <si>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</si>
  <si>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</si>
  <si>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</si>
  <si>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</si>
  <si>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</si>
  <si>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</si>
  <si>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</si>
  <si>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</si>
  <si>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</si>
  <si>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</si>
  <si>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</si>
  <si>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</si>
  <si>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</si>
  <si>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</si>
  <si>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</si>
  <si>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</si>
  <si>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</si>
  <si>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</si>
  <si>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</si>
  <si>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</si>
  <si>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</si>
  <si>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</si>
  <si>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</si>
  <si>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</si>
  <si>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</si>
  <si>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</si>
  <si>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</si>
  <si>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</si>
  <si>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</si>
  <si>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</si>
  <si>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</si>
  <si>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</si>
  <si>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</si>
  <si>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</si>
  <si>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</si>
  <si>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</si>
  <si>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</si>
  <si>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</si>
  <si>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</si>
  <si>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</si>
  <si>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</si>
  <si>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</si>
  <si>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</si>
  <si>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</si>
  <si>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</si>
  <si>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</si>
  <si>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</si>
  <si>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</si>
  <si>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</si>
  <si>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</si>
  <si>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</si>
  <si>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</si>
  <si>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</si>
  <si>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</si>
  <si>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</si>
  <si>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</si>
  <si>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</si>
  <si>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</si>
  <si>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</si>
  <si>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</si>
  <si>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</si>
  <si>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</si>
  <si>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</si>
  <si>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</si>
  <si>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</si>
  <si>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</si>
  <si>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</si>
  <si>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</si>
  <si>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</si>
  <si>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</si>
  <si>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</si>
  <si>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</si>
  <si>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</si>
  <si>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</si>
  <si>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</si>
  <si>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</si>
  <si>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</si>
  <si>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</si>
  <si>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</si>
  <si>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</si>
  <si>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</si>
  <si>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</si>
  <si>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</si>
  <si>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</si>
  <si>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</si>
  <si>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</si>
  <si>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</si>
  <si>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</si>
  <si>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</si>
  <si>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</si>
  <si>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</si>
  <si>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</si>
  <si>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</si>
  <si>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</si>
  <si>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</si>
  <si>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</si>
  <si>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</si>
  <si>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</si>
  <si>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</si>
  <si>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</si>
  <si>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</si>
  <si>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</si>
  <si>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</si>
  <si>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</si>
  <si>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</si>
  <si>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</si>
  <si>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</si>
  <si>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</si>
  <si>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</si>
  <si>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</si>
  <si>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</si>
  <si>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</si>
  <si>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</si>
  <si>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</si>
  <si>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</si>
  <si>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</si>
  <si>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</si>
  <si>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</si>
  <si>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</si>
  <si>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</si>
  <si>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</si>
  <si>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</si>
  <si>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</si>
  <si>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</si>
  <si>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</si>
  <si>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</si>
  <si>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</si>
  <si>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</si>
  <si>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</si>
  <si>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</si>
  <si>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</si>
  <si>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</si>
  <si>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</si>
  <si>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</si>
  <si>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</si>
  <si>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</si>
  <si>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</si>
  <si>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</si>
  <si>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</si>
  <si>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</si>
  <si>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</si>
  <si>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</si>
  <si>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</si>
  <si>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</si>
  <si>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</si>
  <si>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</si>
  <si>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</si>
  <si>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</si>
  <si>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</si>
  <si>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</si>
  <si>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</si>
  <si>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</si>
  <si>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</si>
  <si>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</si>
  <si>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</si>
  <si>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</si>
  <si>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</si>
  <si>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</si>
  <si>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</si>
  <si>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</si>
  <si>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</si>
  <si>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</si>
  <si>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</si>
  <si>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</si>
  <si>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</si>
  <si>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</si>
  <si>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</si>
  <si>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</si>
  <si>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</si>
  <si>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</si>
  <si>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</si>
  <si>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</si>
  <si>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</si>
  <si>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</si>
  <si>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</si>
  <si>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</si>
  <si>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</si>
  <si>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</si>
  <si>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</si>
  <si>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</si>
  <si>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</si>
  <si>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</si>
  <si>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</si>
  <si>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</si>
  <si>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</si>
  <si>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</si>
  <si>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</si>
  <si>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</si>
  <si>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</si>
  <si>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</si>
  <si>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</si>
  <si>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</si>
  <si>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</si>
  <si>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</si>
  <si>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</si>
  <si>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</si>
  <si>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</si>
  <si>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</si>
  <si>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</si>
  <si>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</si>
  <si>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</si>
  <si>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</si>
  <si>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</si>
  <si>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</si>
  <si>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</si>
  <si>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</si>
  <si>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</si>
  <si>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</si>
  <si>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</si>
  <si>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</si>
  <si>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</si>
  <si>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</si>
  <si>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</si>
  <si>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</si>
  <si>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</si>
  <si>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</si>
  <si>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</si>
  <si>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</si>
  <si>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</si>
  <si>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</si>
  <si>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</si>
  <si>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</si>
  <si>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</si>
  <si>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</si>
  <si>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</si>
  <si>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</si>
  <si>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</si>
  <si>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</si>
  <si>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</si>
  <si>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</si>
  <si>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</si>
  <si>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</si>
  <si>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</si>
  <si>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</si>
  <si>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</si>
  <si>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</si>
  <si>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</si>
  <si>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</si>
  <si>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</si>
  <si>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</si>
  <si>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</si>
  <si>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</si>
  <si>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</si>
  <si>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</si>
  <si>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</si>
  <si>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</si>
  <si>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</si>
  <si>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</si>
  <si>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</si>
  <si>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</si>
  <si>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</si>
  <si>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</si>
  <si>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</si>
  <si>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</si>
  <si>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</si>
  <si>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</si>
  <si>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</si>
  <si>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</si>
  <si>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</si>
  <si>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</si>
  <si>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</si>
  <si>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</si>
  <si>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</si>
  <si>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</si>
  <si>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</si>
  <si>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</si>
  <si>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</si>
  <si>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</si>
  <si>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</si>
  <si>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</si>
  <si>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</si>
  <si>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</si>
  <si>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</si>
  <si>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</si>
  <si>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</si>
  <si>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</si>
  <si>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</si>
  <si>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</si>
  <si>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</si>
  <si>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</si>
  <si>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</si>
  <si>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</si>
  <si>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</si>
  <si>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</si>
  <si>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</si>
  <si>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</si>
  <si>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</si>
  <si>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</si>
  <si>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</si>
  <si>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</si>
  <si>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</si>
  <si>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</si>
  <si>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</si>
  <si>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</si>
  <si>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</si>
  <si>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</si>
  <si>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</si>
  <si>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</si>
  <si>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</si>
  <si>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</si>
  <si>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</si>
  <si>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</si>
  <si>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</si>
  <si>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</si>
  <si>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</si>
  <si>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</si>
  <si>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</si>
  <si>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</si>
  <si>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</si>
  <si>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</si>
  <si>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</si>
  <si>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</si>
  <si>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</si>
  <si>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</si>
  <si>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</si>
  <si>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</si>
  <si>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</si>
  <si>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</si>
  <si>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</si>
  <si>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</si>
  <si>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</si>
  <si>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</si>
  <si>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</si>
  <si>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</si>
  <si>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</si>
  <si>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</si>
  <si>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</si>
  <si>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</si>
  <si>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</si>
  <si>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</si>
  <si>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</si>
  <si>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</si>
  <si>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</si>
  <si>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</si>
  <si>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</si>
  <si>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</si>
  <si>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</si>
  <si>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</si>
  <si>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</si>
  <si>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</si>
  <si>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</si>
  <si>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</si>
  <si>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</si>
  <si>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</si>
  <si>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</si>
  <si>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</si>
  <si>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</si>
  <si>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</si>
  <si>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</si>
  <si>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</si>
  <si>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</si>
  <si>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</si>
  <si>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</si>
  <si>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</si>
  <si>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</si>
  <si>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</si>
  <si>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</si>
  <si>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</si>
  <si>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</si>
  <si>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</si>
  <si>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</si>
  <si>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</si>
  <si>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</si>
  <si>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</si>
  <si>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</si>
  <si>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</si>
  <si>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</si>
  <si>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</si>
  <si>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</si>
  <si>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</si>
  <si>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</si>
  <si>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</si>
  <si>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</si>
  <si>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</si>
  <si>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</si>
  <si>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</si>
  <si>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</si>
  <si>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</si>
  <si>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</si>
  <si>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</si>
  <si>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</si>
  <si>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</si>
  <si>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</si>
  <si>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</si>
  <si>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</si>
  <si>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</si>
  <si>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</si>
  <si>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</si>
  <si>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</si>
  <si>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</si>
  <si>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</si>
  <si>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</si>
  <si>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</si>
  <si>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</si>
  <si>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</si>
  <si>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</si>
  <si>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</si>
  <si>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</si>
  <si>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</si>
  <si>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</si>
  <si>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</si>
  <si>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</si>
  <si>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</si>
  <si>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</si>
  <si>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</si>
  <si>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</si>
  <si>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</si>
  <si>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</si>
  <si>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</si>
  <si>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</si>
  <si>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</si>
  <si>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</si>
  <si>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</si>
  <si>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</si>
  <si>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</si>
  <si>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</si>
  <si>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</si>
  <si>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</si>
  <si>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</si>
  <si>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</si>
  <si>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</si>
  <si>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</si>
  <si>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</si>
  <si>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</si>
  <si>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</si>
  <si>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</si>
  <si>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</si>
  <si>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</si>
  <si>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</si>
  <si>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</si>
  <si>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</si>
  <si>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</si>
  <si>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</si>
  <si>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</si>
  <si>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</si>
  <si>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</si>
  <si>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</si>
  <si>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</si>
  <si>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</si>
  <si>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</si>
  <si>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</si>
  <si>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</si>
  <si>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</si>
  <si>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</si>
  <si>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</si>
  <si>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</si>
  <si>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</si>
  <si>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</si>
  <si>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</si>
  <si>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</si>
  <si>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</si>
  <si>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</si>
  <si>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</si>
  <si>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</si>
  <si>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</si>
  <si>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</si>
  <si>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</si>
  <si>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</si>
  <si>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</si>
  <si>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</si>
  <si>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</si>
  <si>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</si>
  <si>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</si>
  <si>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</si>
  <si>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</si>
  <si>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</si>
  <si>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</si>
  <si>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</si>
  <si>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</si>
  <si>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</si>
  <si>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</si>
  <si>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</si>
  <si>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</si>
  <si>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</si>
  <si>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</si>
  <si>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</si>
  <si>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</si>
  <si>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</si>
  <si>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</si>
  <si>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</si>
  <si>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</si>
  <si>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</si>
  <si>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</si>
  <si>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</si>
  <si>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</si>
  <si>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</si>
  <si>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</si>
  <si>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</si>
  <si>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</si>
  <si>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</si>
  <si>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</si>
  <si>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</si>
  <si>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</si>
  <si>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</si>
  <si>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</si>
  <si>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</si>
  <si>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</si>
  <si>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</si>
  <si>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</si>
  <si>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</si>
  <si>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</si>
  <si>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</si>
  <si>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</si>
  <si>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</si>
  <si>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</si>
  <si>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</si>
  <si>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</si>
  <si>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</si>
  <si>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</si>
  <si>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</si>
  <si>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</si>
  <si>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</si>
  <si>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</si>
  <si>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</si>
  <si>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</si>
  <si>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</si>
  <si>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</si>
  <si>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</si>
  <si>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</si>
  <si>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</si>
  <si>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</si>
  <si>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</si>
  <si>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</si>
  <si>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</si>
  <si>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</si>
  <si>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</si>
  <si>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</si>
  <si>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</si>
  <si>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</si>
  <si>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</si>
  <si>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</si>
  <si>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</si>
  <si>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</si>
  <si>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</si>
  <si>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</si>
  <si>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</si>
  <si>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</si>
  <si>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</si>
  <si>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</si>
  <si>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</si>
  <si>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</si>
  <si>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</si>
  <si>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</si>
  <si>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</si>
  <si>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</si>
  <si>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</si>
  <si>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</si>
  <si>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</si>
  <si>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</si>
  <si>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</si>
  <si>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</si>
  <si>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</si>
  <si>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</si>
  <si>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</si>
  <si>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</si>
  <si>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</si>
  <si>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</si>
  <si>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</si>
  <si>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</si>
  <si>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</si>
  <si>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</si>
  <si>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</si>
  <si>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</si>
  <si>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</si>
  <si>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</si>
  <si>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</si>
  <si>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</si>
  <si>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</si>
  <si>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</si>
  <si>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</si>
  <si>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</si>
  <si>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</si>
  <si>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</si>
  <si>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</si>
  <si>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</si>
  <si>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</si>
  <si>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</si>
  <si>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</si>
  <si>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</si>
  <si>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</si>
  <si>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</si>
  <si>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</si>
  <si>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</si>
  <si>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</si>
  <si>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</si>
  <si>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</si>
  <si>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</si>
  <si>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</si>
  <si>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</si>
  <si>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</si>
  <si>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</si>
  <si>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</si>
  <si>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</si>
  <si>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</si>
  <si>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</si>
  <si>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</si>
  <si>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</si>
  <si>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</si>
  <si>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</si>
  <si>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</si>
  <si>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</si>
  <si>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</si>
  <si>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</si>
  <si>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</si>
  <si>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</si>
  <si>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</si>
  <si>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</si>
  <si>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</si>
  <si>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</si>
  <si>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</si>
  <si>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</si>
  <si>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</si>
  <si>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</si>
  <si>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</si>
  <si>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</si>
  <si>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</si>
  <si>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</si>
  <si>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</si>
  <si>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</si>
  <si>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</si>
  <si>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</si>
  <si>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</si>
  <si>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</si>
  <si>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</si>
  <si>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</si>
  <si>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</si>
  <si>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</si>
  <si>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</si>
  <si>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</si>
  <si>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</si>
  <si>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</si>
  <si>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</si>
  <si>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</si>
  <si>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</si>
  <si>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</si>
  <si>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</si>
  <si>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</si>
  <si>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</si>
  <si>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</si>
  <si>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</si>
  <si>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</si>
  <si>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</si>
  <si>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</si>
  <si>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</si>
  <si>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</si>
  <si>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</si>
  <si>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</si>
  <si>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</si>
  <si>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</si>
  <si>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</si>
  <si>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</si>
  <si>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</si>
  <si>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</si>
  <si>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</si>
  <si>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</si>
  <si>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</si>
  <si>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</si>
  <si>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</si>
  <si>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</si>
  <si>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</si>
  <si>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</si>
  <si>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</si>
  <si>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</si>
  <si>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</si>
  <si>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</si>
  <si>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</si>
  <si>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</si>
  <si>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</si>
  <si>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</si>
  <si>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</si>
  <si>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</si>
  <si>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</si>
  <si>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</si>
  <si>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</si>
  <si>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</si>
  <si>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</si>
  <si>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</si>
  <si>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</si>
  <si>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</si>
  <si>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</si>
  <si>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</si>
  <si>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</si>
  <si>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</si>
  <si>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07/07</t>
  </si>
  <si>
    <t>08/17</t>
  </si>
  <si>
    <t>Holderness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</si>
</sst>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257</v>
      </c>
      <c r="C2" s="21">
        <v>257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183965.37</v>
      </c>
      <c r="G9" s="18">
        <v>-31329.84</v>
      </c>
      <c r="H9" s="18">
        <v>-8642.49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276125.48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3973.73</v>
      </c>
      <c r="G13" s="18">
        <v>10084.83</v>
      </c>
      <c r="H13" s="18">
        <v>8642.49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21850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209789.1</v>
      </c>
      <c r="G19" s="41">
        <f>SUM(G9:G18)</f>
        <v>-21245.010000000002</v>
      </c>
      <c r="H19" s="41">
        <f>SUM(H9:H18)</f>
        <v>0</v>
      </c>
      <c r="I19" s="41">
        <f>SUM(I9:I18)</f>
        <v>0</v>
      </c>
      <c r="J19" s="41">
        <f>SUM(J9:J18)</f>
        <v>276125.48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19212.25</v>
      </c>
      <c r="G24" s="18">
        <v>255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19212.25</v>
      </c>
      <c r="G32" s="41">
        <f>SUM(G22:G31)</f>
        <v>255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159251.87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-21500.01</v>
      </c>
      <c r="H48" s="18"/>
      <c r="I48" s="18"/>
      <c r="J48" s="13">
        <f>SUM(I459)</f>
        <v>276125.48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31324.98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190576.85</v>
      </c>
      <c r="G51" s="41">
        <f>SUM(G35:G50)</f>
        <v>-21500.01</v>
      </c>
      <c r="H51" s="41">
        <f>SUM(H35:H50)</f>
        <v>0</v>
      </c>
      <c r="I51" s="41">
        <f>SUM(I35:I50)</f>
        <v>0</v>
      </c>
      <c r="J51" s="41">
        <f>SUM(J35:J50)</f>
        <v>276125.48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209789.1</v>
      </c>
      <c r="G52" s="41">
        <f>G51+G32</f>
        <v>-21245.01</v>
      </c>
      <c r="H52" s="41">
        <f>H51+H32</f>
        <v>0</v>
      </c>
      <c r="I52" s="41">
        <f>I51+I32</f>
        <v>0</v>
      </c>
      <c r="J52" s="41">
        <f>J51+J32</f>
        <v>276125.48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2947854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2947854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45247.6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45247.6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51.15</v>
      </c>
      <c r="G96" s="18"/>
      <c r="H96" s="18"/>
      <c r="I96" s="18"/>
      <c r="J96" s="18">
        <v>62.65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32077.87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15287.18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15338.33</v>
      </c>
      <c r="G111" s="41">
        <f>SUM(G96:G110)</f>
        <v>32077.87</v>
      </c>
      <c r="H111" s="41">
        <f>SUM(H96:H110)</f>
        <v>0</v>
      </c>
      <c r="I111" s="41">
        <f>SUM(I96:I110)</f>
        <v>0</v>
      </c>
      <c r="J111" s="41">
        <f>SUM(J96:J110)</f>
        <v>62.65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3008439.93</v>
      </c>
      <c r="G112" s="41">
        <f>G60+G111</f>
        <v>32077.87</v>
      </c>
      <c r="H112" s="41">
        <f>H60+H79+H94+H111</f>
        <v>0</v>
      </c>
      <c r="I112" s="41">
        <f>I60+I111</f>
        <v>0</v>
      </c>
      <c r="J112" s="41">
        <f>J60+J111</f>
        <v>62.65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1183683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1183683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75159.06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910.28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75159.06</v>
      </c>
      <c r="G136" s="41">
        <f>SUM(G123:G135)</f>
        <v>910.28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1258842.06</v>
      </c>
      <c r="G140" s="41">
        <f>G121+SUM(G136:G137)</f>
        <v>910.28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28487.98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6390.29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26105.29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32507.07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16488.5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32507.07</v>
      </c>
      <c r="G162" s="41">
        <f>SUM(G150:G161)</f>
        <v>26105.29</v>
      </c>
      <c r="H162" s="41">
        <f>SUM(H150:H161)</f>
        <v>51366.77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466.7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32973.769999999997</v>
      </c>
      <c r="G169" s="41">
        <f>G147+G162+SUM(G163:G168)</f>
        <v>26105.29</v>
      </c>
      <c r="H169" s="41">
        <f>H147+H162+SUM(H163:H168)</f>
        <v>51366.77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60000</v>
      </c>
      <c r="H179" s="18"/>
      <c r="I179" s="18"/>
      <c r="J179" s="18">
        <v>47500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60000</v>
      </c>
      <c r="H183" s="41">
        <f>SUM(H179:H182)</f>
        <v>0</v>
      </c>
      <c r="I183" s="41">
        <f>SUM(I179:I182)</f>
        <v>0</v>
      </c>
      <c r="J183" s="41">
        <f>SUM(J179:J182)</f>
        <v>47500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60000</v>
      </c>
      <c r="H192" s="41">
        <f>+H183+SUM(H188:H191)</f>
        <v>0</v>
      </c>
      <c r="I192" s="41">
        <f>I177+I183+SUM(I188:I191)</f>
        <v>0</v>
      </c>
      <c r="J192" s="41">
        <f>J183</f>
        <v>47500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4300255.76</v>
      </c>
      <c r="G193" s="47">
        <f>G112+G140+G169+G192</f>
        <v>119093.44</v>
      </c>
      <c r="H193" s="47">
        <f>H112+H140+H169+H192</f>
        <v>51366.77</v>
      </c>
      <c r="I193" s="47">
        <f>I112+I140+I169+I192</f>
        <v>0</v>
      </c>
      <c r="J193" s="47">
        <f>J112+J140+J192</f>
        <v>47562.65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1262090.8700000001</v>
      </c>
      <c r="G197" s="18">
        <v>550961.39</v>
      </c>
      <c r="H197" s="18">
        <v>1522.94</v>
      </c>
      <c r="I197" s="18">
        <v>80913.45</v>
      </c>
      <c r="J197" s="18">
        <v>4867.63</v>
      </c>
      <c r="K197" s="18">
        <v>493.22</v>
      </c>
      <c r="L197" s="19">
        <f>SUM(F197:K197)</f>
        <v>1900849.5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321742.44</v>
      </c>
      <c r="G198" s="18">
        <v>178894.83</v>
      </c>
      <c r="H198" s="18">
        <v>99727.679999999993</v>
      </c>
      <c r="I198" s="18">
        <v>264.43</v>
      </c>
      <c r="J198" s="18"/>
      <c r="K198" s="18"/>
      <c r="L198" s="19">
        <f>SUM(F198:K198)</f>
        <v>600629.38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41011</v>
      </c>
      <c r="G200" s="18">
        <v>7163.72</v>
      </c>
      <c r="H200" s="18">
        <v>8020</v>
      </c>
      <c r="I200" s="18">
        <v>2525.92</v>
      </c>
      <c r="J200" s="18">
        <v>9729.76</v>
      </c>
      <c r="K200" s="18">
        <v>40</v>
      </c>
      <c r="L200" s="19">
        <f>SUM(F200:K200)</f>
        <v>68490.399999999994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72393.600000000006</v>
      </c>
      <c r="G202" s="18">
        <v>33058.519999999997</v>
      </c>
      <c r="H202" s="18">
        <v>159826.88</v>
      </c>
      <c r="I202" s="18">
        <v>2924.79</v>
      </c>
      <c r="J202" s="18">
        <v>986.92</v>
      </c>
      <c r="K202" s="18"/>
      <c r="L202" s="19">
        <f t="shared" ref="L202:L208" si="0">SUM(F202:K202)</f>
        <v>269190.70999999996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68221</v>
      </c>
      <c r="G203" s="18">
        <v>62106.53</v>
      </c>
      <c r="H203" s="18">
        <v>0</v>
      </c>
      <c r="I203" s="18">
        <v>3476.88</v>
      </c>
      <c r="J203" s="18"/>
      <c r="K203" s="18"/>
      <c r="L203" s="19">
        <f t="shared" si="0"/>
        <v>133804.41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1970</v>
      </c>
      <c r="G204" s="18">
        <v>220.41</v>
      </c>
      <c r="H204" s="18">
        <v>211764.07</v>
      </c>
      <c r="I204" s="18">
        <v>616.28</v>
      </c>
      <c r="J204" s="18"/>
      <c r="K204" s="18">
        <v>3384.74</v>
      </c>
      <c r="L204" s="19">
        <f t="shared" si="0"/>
        <v>217955.5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131937.01</v>
      </c>
      <c r="G205" s="18">
        <v>79003.03</v>
      </c>
      <c r="H205" s="18">
        <v>9927.35</v>
      </c>
      <c r="I205" s="18">
        <v>803.43</v>
      </c>
      <c r="J205" s="18"/>
      <c r="K205" s="18">
        <v>1191.49</v>
      </c>
      <c r="L205" s="19">
        <f t="shared" si="0"/>
        <v>222862.31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327.75</v>
      </c>
      <c r="I206" s="18"/>
      <c r="J206" s="18"/>
      <c r="K206" s="18"/>
      <c r="L206" s="19">
        <f t="shared" si="0"/>
        <v>327.75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103752.56</v>
      </c>
      <c r="G207" s="18">
        <v>58230.49</v>
      </c>
      <c r="H207" s="18">
        <v>110206.75</v>
      </c>
      <c r="I207" s="18">
        <v>94678.64</v>
      </c>
      <c r="J207" s="18">
        <v>5800.05</v>
      </c>
      <c r="K207" s="18"/>
      <c r="L207" s="19">
        <f t="shared" si="0"/>
        <v>372668.49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159895.95000000001</v>
      </c>
      <c r="I208" s="18"/>
      <c r="J208" s="18"/>
      <c r="K208" s="18"/>
      <c r="L208" s="19">
        <f t="shared" si="0"/>
        <v>159895.95000000001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2003118.4800000002</v>
      </c>
      <c r="G211" s="41">
        <f t="shared" si="1"/>
        <v>969638.92</v>
      </c>
      <c r="H211" s="41">
        <f t="shared" si="1"/>
        <v>761219.36999999988</v>
      </c>
      <c r="I211" s="41">
        <f t="shared" si="1"/>
        <v>186203.81999999998</v>
      </c>
      <c r="J211" s="41">
        <f t="shared" si="1"/>
        <v>21384.36</v>
      </c>
      <c r="K211" s="41">
        <f t="shared" si="1"/>
        <v>5109.45</v>
      </c>
      <c r="L211" s="41">
        <f t="shared" si="1"/>
        <v>3946674.4000000004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40923.019999999997</v>
      </c>
      <c r="I255" s="18"/>
      <c r="J255" s="18"/>
      <c r="K255" s="18"/>
      <c r="L255" s="19">
        <f t="shared" si="6"/>
        <v>40923.019999999997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40923.019999999997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40923.019999999997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2003118.4800000002</v>
      </c>
      <c r="G257" s="41">
        <f t="shared" si="8"/>
        <v>969638.92</v>
      </c>
      <c r="H257" s="41">
        <f t="shared" si="8"/>
        <v>802142.3899999999</v>
      </c>
      <c r="I257" s="41">
        <f t="shared" si="8"/>
        <v>186203.81999999998</v>
      </c>
      <c r="J257" s="41">
        <f t="shared" si="8"/>
        <v>21384.36</v>
      </c>
      <c r="K257" s="41">
        <f t="shared" si="8"/>
        <v>5109.45</v>
      </c>
      <c r="L257" s="41">
        <f t="shared" si="8"/>
        <v>3987597.4200000004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237107.9</v>
      </c>
      <c r="L260" s="19">
        <f>SUM(F260:K260)</f>
        <v>237107.9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41586.75</v>
      </c>
      <c r="L261" s="19">
        <f>SUM(F261:K261)</f>
        <v>41586.75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60000</v>
      </c>
      <c r="L263" s="19">
        <f>SUM(F263:K263)</f>
        <v>60000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47500</v>
      </c>
      <c r="L266" s="19">
        <f t="shared" si="9"/>
        <v>47500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386194.65</v>
      </c>
      <c r="L270" s="41">
        <f t="shared" si="9"/>
        <v>386194.65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2003118.4800000002</v>
      </c>
      <c r="G271" s="42">
        <f t="shared" si="11"/>
        <v>969638.92</v>
      </c>
      <c r="H271" s="42">
        <f t="shared" si="11"/>
        <v>802142.3899999999</v>
      </c>
      <c r="I271" s="42">
        <f t="shared" si="11"/>
        <v>186203.81999999998</v>
      </c>
      <c r="J271" s="42">
        <f t="shared" si="11"/>
        <v>21384.36</v>
      </c>
      <c r="K271" s="42">
        <f t="shared" si="11"/>
        <v>391304.10000000003</v>
      </c>
      <c r="L271" s="42">
        <f t="shared" si="11"/>
        <v>4373792.07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6066.9</v>
      </c>
      <c r="J276" s="18">
        <v>10504.71</v>
      </c>
      <c r="K276" s="18"/>
      <c r="L276" s="19">
        <f>SUM(F276:K276)</f>
        <v>16571.61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16612.71</v>
      </c>
      <c r="G277" s="18">
        <v>9264.0499999999993</v>
      </c>
      <c r="H277" s="18"/>
      <c r="I277" s="18">
        <v>488.4</v>
      </c>
      <c r="J277" s="18"/>
      <c r="K277" s="18"/>
      <c r="L277" s="19">
        <f>SUM(F277:K277)</f>
        <v>26365.16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2221.81</v>
      </c>
      <c r="J279" s="18"/>
      <c r="K279" s="18"/>
      <c r="L279" s="19">
        <f>SUM(F279:K279)</f>
        <v>2221.81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2559</v>
      </c>
      <c r="H282" s="18"/>
      <c r="I282" s="18"/>
      <c r="J282" s="18"/>
      <c r="K282" s="18"/>
      <c r="L282" s="19">
        <f t="shared" si="12"/>
        <v>2559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1503.3</v>
      </c>
      <c r="G283" s="18"/>
      <c r="H283" s="18"/>
      <c r="I283" s="18"/>
      <c r="J283" s="18"/>
      <c r="K283" s="18">
        <v>138.4</v>
      </c>
      <c r="L283" s="19">
        <f t="shared" si="12"/>
        <v>1641.7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619.52</v>
      </c>
      <c r="L285" s="19">
        <f t="shared" si="12"/>
        <v>619.52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1387.97</v>
      </c>
      <c r="I286" s="18"/>
      <c r="J286" s="18"/>
      <c r="K286" s="18"/>
      <c r="L286" s="19">
        <f t="shared" si="12"/>
        <v>1387.97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18116.009999999998</v>
      </c>
      <c r="G290" s="42">
        <f t="shared" si="13"/>
        <v>11823.05</v>
      </c>
      <c r="H290" s="42">
        <f t="shared" si="13"/>
        <v>1387.97</v>
      </c>
      <c r="I290" s="42">
        <f t="shared" si="13"/>
        <v>8777.1099999999988</v>
      </c>
      <c r="J290" s="42">
        <f t="shared" si="13"/>
        <v>10504.71</v>
      </c>
      <c r="K290" s="42">
        <f t="shared" si="13"/>
        <v>757.92</v>
      </c>
      <c r="L290" s="41">
        <f t="shared" si="13"/>
        <v>51366.77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18116.009999999998</v>
      </c>
      <c r="G338" s="41">
        <f t="shared" si="20"/>
        <v>11823.05</v>
      </c>
      <c r="H338" s="41">
        <f t="shared" si="20"/>
        <v>1387.97</v>
      </c>
      <c r="I338" s="41">
        <f t="shared" si="20"/>
        <v>8777.1099999999988</v>
      </c>
      <c r="J338" s="41">
        <f t="shared" si="20"/>
        <v>10504.71</v>
      </c>
      <c r="K338" s="41">
        <f t="shared" si="20"/>
        <v>757.92</v>
      </c>
      <c r="L338" s="41">
        <f t="shared" si="20"/>
        <v>51366.77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18116.009999999998</v>
      </c>
      <c r="G352" s="41">
        <f>G338</f>
        <v>11823.05</v>
      </c>
      <c r="H352" s="41">
        <f>H338</f>
        <v>1387.97</v>
      </c>
      <c r="I352" s="41">
        <f>I338</f>
        <v>8777.1099999999988</v>
      </c>
      <c r="J352" s="41">
        <f>J338</f>
        <v>10504.71</v>
      </c>
      <c r="K352" s="47">
        <f>K338+K351</f>
        <v>757.92</v>
      </c>
      <c r="L352" s="41">
        <f>L338+L351</f>
        <v>51366.77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62134.28</v>
      </c>
      <c r="G358" s="18">
        <v>28806.33</v>
      </c>
      <c r="H358" s="18">
        <v>97</v>
      </c>
      <c r="I358" s="18">
        <v>48874.75</v>
      </c>
      <c r="J358" s="18"/>
      <c r="K358" s="18">
        <v>681.09</v>
      </c>
      <c r="L358" s="13">
        <f>SUM(F358:K358)</f>
        <v>140593.44999999998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62134.28</v>
      </c>
      <c r="G362" s="47">
        <f t="shared" si="22"/>
        <v>28806.33</v>
      </c>
      <c r="H362" s="47">
        <f t="shared" si="22"/>
        <v>97</v>
      </c>
      <c r="I362" s="47">
        <f t="shared" si="22"/>
        <v>48874.75</v>
      </c>
      <c r="J362" s="47">
        <f t="shared" si="22"/>
        <v>0</v>
      </c>
      <c r="K362" s="47">
        <f t="shared" si="22"/>
        <v>681.09</v>
      </c>
      <c r="L362" s="47">
        <f t="shared" si="22"/>
        <v>140593.44999999998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42223.43</v>
      </c>
      <c r="G367" s="18"/>
      <c r="H367" s="18"/>
      <c r="I367" s="56">
        <f>SUM(F367:H367)</f>
        <v>42223.43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6651.32</v>
      </c>
      <c r="G368" s="63"/>
      <c r="H368" s="63"/>
      <c r="I368" s="56">
        <f>SUM(F368:H368)</f>
        <v>6651.32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48874.75</v>
      </c>
      <c r="G369" s="47">
        <f>SUM(G367:G368)</f>
        <v>0</v>
      </c>
      <c r="H369" s="47">
        <f>SUM(H367:H368)</f>
        <v>0</v>
      </c>
      <c r="I369" s="47">
        <f>SUM(I367:I368)</f>
        <v>48874.75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40000</v>
      </c>
      <c r="H389" s="18">
        <v>40.72</v>
      </c>
      <c r="I389" s="18"/>
      <c r="J389" s="24" t="s">
        <v>289</v>
      </c>
      <c r="K389" s="24" t="s">
        <v>289</v>
      </c>
      <c r="L389" s="56">
        <f t="shared" si="25"/>
        <v>40040.720000000001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40000</v>
      </c>
      <c r="H393" s="139">
        <f>SUM(H387:H392)</f>
        <v>40.72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40040.720000000001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13.42</v>
      </c>
      <c r="I397" s="18"/>
      <c r="J397" s="24" t="s">
        <v>289</v>
      </c>
      <c r="K397" s="24" t="s">
        <v>289</v>
      </c>
      <c r="L397" s="56">
        <f t="shared" si="26"/>
        <v>13.42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7500</v>
      </c>
      <c r="H399" s="18">
        <v>8.51</v>
      </c>
      <c r="I399" s="18"/>
      <c r="J399" s="24" t="s">
        <v>289</v>
      </c>
      <c r="K399" s="24" t="s">
        <v>289</v>
      </c>
      <c r="L399" s="56">
        <f t="shared" si="26"/>
        <v>7508.51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</v>
      </c>
      <c r="H401" s="47">
        <f>SUM(H395:H400)</f>
        <v>21.93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7521.93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47500</v>
      </c>
      <c r="H408" s="47">
        <f>H393+H401+H407</f>
        <v>62.65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47562.65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185781.76000000001</v>
      </c>
      <c r="G440" s="18">
        <v>90343.72</v>
      </c>
      <c r="H440" s="18"/>
      <c r="I440" s="56">
        <f t="shared" si="33"/>
        <v>276125.48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185781.76000000001</v>
      </c>
      <c r="G446" s="13">
        <f>SUM(G439:G445)</f>
        <v>90343.72</v>
      </c>
      <c r="H446" s="13">
        <f>SUM(H439:H445)</f>
        <v>0</v>
      </c>
      <c r="I446" s="13">
        <f>SUM(I439:I445)</f>
        <v>276125.48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185781.76000000001</v>
      </c>
      <c r="G459" s="18">
        <v>90343.72</v>
      </c>
      <c r="H459" s="18"/>
      <c r="I459" s="56">
        <f t="shared" si="34"/>
        <v>276125.48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185781.76000000001</v>
      </c>
      <c r="G460" s="83">
        <f>SUM(G454:G459)</f>
        <v>90343.72</v>
      </c>
      <c r="H460" s="83">
        <f>SUM(H454:H459)</f>
        <v>0</v>
      </c>
      <c r="I460" s="83">
        <f>SUM(I454:I459)</f>
        <v>276125.48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185781.76000000001</v>
      </c>
      <c r="G461" s="42">
        <f>G452+G460</f>
        <v>90343.72</v>
      </c>
      <c r="H461" s="42">
        <f>H452+H460</f>
        <v>0</v>
      </c>
      <c r="I461" s="42">
        <f>I452+I460</f>
        <v>276125.48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264113.15999999997</v>
      </c>
      <c r="G465" s="18"/>
      <c r="H465" s="18"/>
      <c r="I465" s="18"/>
      <c r="J465" s="18">
        <v>228562.83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4300255.76</v>
      </c>
      <c r="G468" s="18">
        <v>119093.44</v>
      </c>
      <c r="H468" s="18">
        <v>51366.77</v>
      </c>
      <c r="I468" s="18"/>
      <c r="J468" s="18">
        <v>47562.65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4300255.76</v>
      </c>
      <c r="G470" s="53">
        <f>SUM(G468:G469)</f>
        <v>119093.44</v>
      </c>
      <c r="H470" s="53">
        <f>SUM(H468:H469)</f>
        <v>51366.77</v>
      </c>
      <c r="I470" s="53">
        <f>SUM(I468:I469)</f>
        <v>0</v>
      </c>
      <c r="J470" s="53">
        <f>SUM(J468:J469)</f>
        <v>47562.65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4373792.07</v>
      </c>
      <c r="G472" s="18">
        <v>140593.45000000001</v>
      </c>
      <c r="H472" s="18">
        <v>51366.77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4373792.07</v>
      </c>
      <c r="G474" s="53">
        <f>SUM(G472:G473)</f>
        <v>140593.45000000001</v>
      </c>
      <c r="H474" s="53">
        <f>SUM(H472:H473)</f>
        <v>51366.77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190576.84999999963</v>
      </c>
      <c r="G476" s="53">
        <f>(G465+G470)- G474</f>
        <v>-21500.010000000009</v>
      </c>
      <c r="H476" s="53">
        <f>(H465+H470)- H474</f>
        <v>0</v>
      </c>
      <c r="I476" s="53">
        <f>(I465+I470)- I474</f>
        <v>0</v>
      </c>
      <c r="J476" s="53">
        <f>(J465+J470)- J474</f>
        <v>276125.48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2371079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1185539.5</v>
      </c>
      <c r="G495" s="18"/>
      <c r="H495" s="18"/>
      <c r="I495" s="18"/>
      <c r="J495" s="18"/>
      <c r="K495" s="53">
        <f>SUM(F495:J495)</f>
        <v>1185539.5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237107.9</v>
      </c>
      <c r="G497" s="18"/>
      <c r="H497" s="18"/>
      <c r="I497" s="18"/>
      <c r="J497" s="18"/>
      <c r="K497" s="53">
        <f t="shared" si="35"/>
        <v>237107.9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948431.6</v>
      </c>
      <c r="G498" s="204"/>
      <c r="H498" s="204"/>
      <c r="I498" s="204"/>
      <c r="J498" s="204"/>
      <c r="K498" s="205">
        <f t="shared" si="35"/>
        <v>948431.6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73977.66</v>
      </c>
      <c r="G499" s="18"/>
      <c r="H499" s="18"/>
      <c r="I499" s="18"/>
      <c r="J499" s="18"/>
      <c r="K499" s="53">
        <f t="shared" si="35"/>
        <v>73977.66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1022409.26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1022409.26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237107.9</v>
      </c>
      <c r="G501" s="204"/>
      <c r="H501" s="204"/>
      <c r="I501" s="204"/>
      <c r="J501" s="204"/>
      <c r="K501" s="205">
        <f t="shared" si="35"/>
        <v>237107.9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32365.23</v>
      </c>
      <c r="G502" s="18"/>
      <c r="H502" s="18"/>
      <c r="I502" s="18"/>
      <c r="J502" s="18"/>
      <c r="K502" s="53">
        <f t="shared" si="35"/>
        <v>32365.23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269473.13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269473.13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321742.44</v>
      </c>
      <c r="G521" s="18">
        <v>178894.83</v>
      </c>
      <c r="H521" s="18">
        <v>99727.679999999993</v>
      </c>
      <c r="I521" s="18">
        <v>264.43</v>
      </c>
      <c r="J521" s="18"/>
      <c r="K521" s="18"/>
      <c r="L521" s="88">
        <f>SUM(F521:K521)</f>
        <v>600629.38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321742.44</v>
      </c>
      <c r="G524" s="108">
        <f t="shared" ref="G524:L524" si="36">SUM(G521:G523)</f>
        <v>178894.83</v>
      </c>
      <c r="H524" s="108">
        <f t="shared" si="36"/>
        <v>99727.679999999993</v>
      </c>
      <c r="I524" s="108">
        <f t="shared" si="36"/>
        <v>264.43</v>
      </c>
      <c r="J524" s="108">
        <f t="shared" si="36"/>
        <v>0</v>
      </c>
      <c r="K524" s="108">
        <f t="shared" si="36"/>
        <v>0</v>
      </c>
      <c r="L524" s="89">
        <f t="shared" si="36"/>
        <v>600629.38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42953.919999999998</v>
      </c>
      <c r="G526" s="18">
        <v>25320.080000000002</v>
      </c>
      <c r="H526" s="18">
        <v>106034.48</v>
      </c>
      <c r="I526" s="18">
        <v>1469.96</v>
      </c>
      <c r="J526" s="18">
        <v>197.39</v>
      </c>
      <c r="K526" s="18"/>
      <c r="L526" s="88">
        <f>SUM(F526:K526)</f>
        <v>175975.83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42953.919999999998</v>
      </c>
      <c r="G529" s="89">
        <f t="shared" ref="G529:L529" si="37">SUM(G526:G528)</f>
        <v>25320.080000000002</v>
      </c>
      <c r="H529" s="89">
        <f t="shared" si="37"/>
        <v>106034.48</v>
      </c>
      <c r="I529" s="89">
        <f t="shared" si="37"/>
        <v>1469.96</v>
      </c>
      <c r="J529" s="89">
        <f t="shared" si="37"/>
        <v>197.39</v>
      </c>
      <c r="K529" s="89">
        <f t="shared" si="37"/>
        <v>0</v>
      </c>
      <c r="L529" s="89">
        <f t="shared" si="37"/>
        <v>175975.83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17370.560000000001</v>
      </c>
      <c r="G531" s="18">
        <v>7281.56</v>
      </c>
      <c r="H531" s="18">
        <v>369.55</v>
      </c>
      <c r="I531" s="18"/>
      <c r="J531" s="18"/>
      <c r="K531" s="18"/>
      <c r="L531" s="88">
        <f>SUM(F531:K531)</f>
        <v>25021.670000000002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17370.560000000001</v>
      </c>
      <c r="G534" s="89">
        <f t="shared" ref="G534:L534" si="38">SUM(G531:G533)</f>
        <v>7281.56</v>
      </c>
      <c r="H534" s="89">
        <f t="shared" si="38"/>
        <v>369.55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25021.670000000002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10164.18</v>
      </c>
      <c r="I541" s="18"/>
      <c r="J541" s="18"/>
      <c r="K541" s="18"/>
      <c r="L541" s="88">
        <f>SUM(F541:K541)</f>
        <v>10164.18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10164.18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10164.18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382066.92</v>
      </c>
      <c r="G545" s="89">
        <f t="shared" ref="G545:L545" si="41">G524+G529+G534+G539+G544</f>
        <v>211496.46999999997</v>
      </c>
      <c r="H545" s="89">
        <f t="shared" si="41"/>
        <v>216295.88999999996</v>
      </c>
      <c r="I545" s="89">
        <f t="shared" si="41"/>
        <v>1734.39</v>
      </c>
      <c r="J545" s="89">
        <f t="shared" si="41"/>
        <v>197.39</v>
      </c>
      <c r="K545" s="89">
        <f t="shared" si="41"/>
        <v>0</v>
      </c>
      <c r="L545" s="89">
        <f t="shared" si="41"/>
        <v>811791.06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600629.38</v>
      </c>
      <c r="G549" s="87">
        <f>L526</f>
        <v>175975.83</v>
      </c>
      <c r="H549" s="87">
        <f>L531</f>
        <v>25021.670000000002</v>
      </c>
      <c r="I549" s="87">
        <f>L536</f>
        <v>0</v>
      </c>
      <c r="J549" s="87">
        <f>L541</f>
        <v>10164.18</v>
      </c>
      <c r="K549" s="87">
        <f>SUM(F549:J549)</f>
        <v>811791.06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600629.38</v>
      </c>
      <c r="G552" s="89">
        <f t="shared" si="42"/>
        <v>175975.83</v>
      </c>
      <c r="H552" s="89">
        <f t="shared" si="42"/>
        <v>25021.670000000002</v>
      </c>
      <c r="I552" s="89">
        <f t="shared" si="42"/>
        <v>0</v>
      </c>
      <c r="J552" s="89">
        <f t="shared" si="42"/>
        <v>10164.18</v>
      </c>
      <c r="K552" s="89">
        <f t="shared" si="42"/>
        <v>811791.06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1800</v>
      </c>
      <c r="G567" s="18">
        <v>137.69999999999999</v>
      </c>
      <c r="H567" s="18">
        <v>4355</v>
      </c>
      <c r="I567" s="18"/>
      <c r="J567" s="18"/>
      <c r="K567" s="18"/>
      <c r="L567" s="88">
        <f>SUM(F567:K567)</f>
        <v>6292.7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1800</v>
      </c>
      <c r="G570" s="193">
        <f t="shared" ref="G570:L570" si="45">SUM(G567:G569)</f>
        <v>137.69999999999999</v>
      </c>
      <c r="H570" s="193">
        <f t="shared" si="45"/>
        <v>4355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6292.7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1800</v>
      </c>
      <c r="G571" s="89">
        <f t="shared" ref="G571:L571" si="46">G560+G565+G570</f>
        <v>137.69999999999999</v>
      </c>
      <c r="H571" s="89">
        <f t="shared" si="46"/>
        <v>4355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6292.7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64119.76</v>
      </c>
      <c r="G579" s="18"/>
      <c r="H579" s="18"/>
      <c r="I579" s="87">
        <f t="shared" si="47"/>
        <v>64119.76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24050.1</v>
      </c>
      <c r="G582" s="18"/>
      <c r="H582" s="18"/>
      <c r="I582" s="87">
        <f t="shared" si="47"/>
        <v>24050.1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134913.82</v>
      </c>
      <c r="I591" s="18"/>
      <c r="J591" s="18"/>
      <c r="K591" s="104">
        <f t="shared" ref="K591:K597" si="48">SUM(H591:J591)</f>
        <v>134913.82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10164.18</v>
      </c>
      <c r="I592" s="18"/>
      <c r="J592" s="18"/>
      <c r="K592" s="104">
        <f t="shared" si="48"/>
        <v>10164.18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6535</v>
      </c>
      <c r="I594" s="18"/>
      <c r="J594" s="18"/>
      <c r="K594" s="104">
        <f t="shared" si="48"/>
        <v>6535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8282.9500000000007</v>
      </c>
      <c r="I595" s="18"/>
      <c r="J595" s="18"/>
      <c r="K595" s="104">
        <f t="shared" si="48"/>
        <v>8282.9500000000007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159895.95000000001</v>
      </c>
      <c r="I598" s="108">
        <f>SUM(I591:I597)</f>
        <v>0</v>
      </c>
      <c r="J598" s="108">
        <f>SUM(J591:J597)</f>
        <v>0</v>
      </c>
      <c r="K598" s="108">
        <f>SUM(K591:K597)</f>
        <v>159895.95000000001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31889.07</v>
      </c>
      <c r="I604" s="18"/>
      <c r="J604" s="18"/>
      <c r="K604" s="104">
        <f>SUM(H604:J604)</f>
        <v>31889.07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31889.07</v>
      </c>
      <c r="I605" s="108">
        <f>SUM(I602:I604)</f>
        <v>0</v>
      </c>
      <c r="J605" s="108">
        <f>SUM(J602:J604)</f>
        <v>0</v>
      </c>
      <c r="K605" s="108">
        <f>SUM(K602:K604)</f>
        <v>31889.07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209789.1</v>
      </c>
      <c r="H617" s="109">
        <f>SUM(F52)</f>
        <v>209789.1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-21245.010000000002</v>
      </c>
      <c r="H618" s="109">
        <f>SUM(G52)</f>
        <v>-21245.01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276125.48</v>
      </c>
      <c r="H621" s="109">
        <f>SUM(J52)</f>
        <v>276125.48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190576.85</v>
      </c>
      <c r="H622" s="109">
        <f>F476</f>
        <v>190576.84999999963</v>
      </c>
      <c r="I622" s="121" t="s">
        <v>101</v>
      </c>
      <c r="J622" s="109">
        <f t="shared" ref="J622:J655" si="50">G622-H622</f>
        <v>3.7834979593753815E-10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-21500.01</v>
      </c>
      <c r="H623" s="109">
        <f>G476</f>
        <v>-21500.010000000009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276125.48</v>
      </c>
      <c r="H626" s="109">
        <f>J476</f>
        <v>276125.48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4300255.76</v>
      </c>
      <c r="H627" s="104">
        <f>SUM(F468)</f>
        <v>4300255.76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119093.44</v>
      </c>
      <c r="H628" s="104">
        <f>SUM(G468)</f>
        <v>119093.44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51366.77</v>
      </c>
      <c r="H629" s="104">
        <f>SUM(H468)</f>
        <v>51366.77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47562.65</v>
      </c>
      <c r="H631" s="104">
        <f>SUM(J468)</f>
        <v>47562.65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4373792.07</v>
      </c>
      <c r="H632" s="104">
        <f>SUM(F472)</f>
        <v>4373792.07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51366.77</v>
      </c>
      <c r="H633" s="104">
        <f>SUM(H472)</f>
        <v>51366.77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48874.75</v>
      </c>
      <c r="H634" s="104">
        <f>I369</f>
        <v>48874.75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140593.44999999998</v>
      </c>
      <c r="H635" s="104">
        <f>SUM(G472)</f>
        <v>140593.45000000001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47562.65</v>
      </c>
      <c r="H637" s="164">
        <f>SUM(J468)</f>
        <v>47562.65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185781.76000000001</v>
      </c>
      <c r="H639" s="104">
        <f>SUM(F461)</f>
        <v>185781.76000000001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90343.72</v>
      </c>
      <c r="H640" s="104">
        <f>SUM(G461)</f>
        <v>90343.72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276125.48</v>
      </c>
      <c r="H642" s="104">
        <f>SUM(I461)</f>
        <v>276125.48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62.65</v>
      </c>
      <c r="H644" s="104">
        <f>H408</f>
        <v>62.65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47500</v>
      </c>
      <c r="H645" s="104">
        <f>G408</f>
        <v>47500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47562.65</v>
      </c>
      <c r="H646" s="104">
        <f>L408</f>
        <v>47562.65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159895.95000000001</v>
      </c>
      <c r="H647" s="104">
        <f>L208+L226+L244</f>
        <v>159895.95000000001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31889.07</v>
      </c>
      <c r="H648" s="104">
        <f>(J257+J338)-(J255+J336)</f>
        <v>31889.07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159895.95000000001</v>
      </c>
      <c r="H649" s="104">
        <f>H598</f>
        <v>159895.95000000001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60000</v>
      </c>
      <c r="H652" s="104">
        <f>K263+K345</f>
        <v>60000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47500</v>
      </c>
      <c r="H655" s="104">
        <f>K266+K347</f>
        <v>47500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4138634.6200000006</v>
      </c>
      <c r="G660" s="19">
        <f>(L229+L309+L359)</f>
        <v>0</v>
      </c>
      <c r="H660" s="19">
        <f>(L247+L328+L360)</f>
        <v>0</v>
      </c>
      <c r="I660" s="19">
        <f>SUM(F660:H660)</f>
        <v>4138634.6200000006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32077.87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32077.87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159895.95000000001</v>
      </c>
      <c r="G662" s="19">
        <f>(L226+L306)-(J226+J306)</f>
        <v>0</v>
      </c>
      <c r="H662" s="19">
        <f>(L244+L325)-(J244+J325)</f>
        <v>0</v>
      </c>
      <c r="I662" s="19">
        <f>SUM(F662:H662)</f>
        <v>159895.95000000001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120058.93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120058.93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3826601.8700000006</v>
      </c>
      <c r="G664" s="19">
        <f>G660-SUM(G661:G663)</f>
        <v>0</v>
      </c>
      <c r="H664" s="19">
        <f>H660-SUM(H661:H663)</f>
        <v>0</v>
      </c>
      <c r="I664" s="19">
        <f>I660-SUM(I661:I663)</f>
        <v>3826601.8700000006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182.3</v>
      </c>
      <c r="G665" s="248"/>
      <c r="H665" s="248"/>
      <c r="I665" s="19">
        <f>SUM(F665:H665)</f>
        <v>182.3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20990.68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20990.68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20990.68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20990.68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>&amp;CDOE 25 for 2013-2014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Holderness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1262090.8700000001</v>
      </c>
      <c r="C9" s="229">
        <f>'DOE25'!G197+'DOE25'!G215+'DOE25'!G233+'DOE25'!G276+'DOE25'!G295+'DOE25'!G314</f>
        <v>550961.39</v>
      </c>
    </row>
    <row r="10" spans="1:3" x14ac:dyDescent="0.2">
      <c r="A10" t="s">
        <v>779</v>
      </c>
      <c r="B10" s="240">
        <v>1195223.1399999999</v>
      </c>
      <c r="C10" s="240">
        <v>524459.86</v>
      </c>
    </row>
    <row r="11" spans="1:3" x14ac:dyDescent="0.2">
      <c r="A11" t="s">
        <v>780</v>
      </c>
      <c r="B11" s="240">
        <v>33462.78</v>
      </c>
      <c r="C11" s="240">
        <v>23528.67</v>
      </c>
    </row>
    <row r="12" spans="1:3" x14ac:dyDescent="0.2">
      <c r="A12" t="s">
        <v>781</v>
      </c>
      <c r="B12" s="240">
        <v>33404.949999999997</v>
      </c>
      <c r="C12" s="240">
        <v>2972.86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1262090.8699999999</v>
      </c>
      <c r="C13" s="231">
        <f>SUM(C10:C12)</f>
        <v>550961.39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338355.15</v>
      </c>
      <c r="C18" s="229">
        <f>'DOE25'!G198+'DOE25'!G216+'DOE25'!G234+'DOE25'!G277+'DOE25'!G296+'DOE25'!G315</f>
        <v>188158.87999999998</v>
      </c>
    </row>
    <row r="19" spans="1:3" x14ac:dyDescent="0.2">
      <c r="A19" t="s">
        <v>779</v>
      </c>
      <c r="B19" s="240">
        <v>203283.02</v>
      </c>
      <c r="C19" s="240">
        <v>116432.58</v>
      </c>
    </row>
    <row r="20" spans="1:3" x14ac:dyDescent="0.2">
      <c r="A20" t="s">
        <v>780</v>
      </c>
      <c r="B20" s="240">
        <v>129082.13</v>
      </c>
      <c r="C20" s="240">
        <v>70772.070000000007</v>
      </c>
    </row>
    <row r="21" spans="1:3" x14ac:dyDescent="0.2">
      <c r="A21" t="s">
        <v>781</v>
      </c>
      <c r="B21" s="240">
        <v>5990</v>
      </c>
      <c r="C21" s="240">
        <v>954.23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338355.15</v>
      </c>
      <c r="C22" s="231">
        <f>SUM(C19:C21)</f>
        <v>188158.88000000003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41011</v>
      </c>
      <c r="C36" s="235">
        <f>'DOE25'!G200+'DOE25'!G218+'DOE25'!G236+'DOE25'!G279+'DOE25'!G298+'DOE25'!G317</f>
        <v>7163.72</v>
      </c>
    </row>
    <row r="37" spans="1:3" x14ac:dyDescent="0.2">
      <c r="A37" t="s">
        <v>779</v>
      </c>
      <c r="B37" s="240">
        <v>41011</v>
      </c>
      <c r="C37" s="240">
        <v>7163.72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41011</v>
      </c>
      <c r="C40" s="231">
        <f>SUM(C37:C39)</f>
        <v>7163.72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Holderness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2569969.2799999998</v>
      </c>
      <c r="D5" s="20">
        <f>SUM('DOE25'!L197:L200)+SUM('DOE25'!L215:L218)+SUM('DOE25'!L233:L236)-F5-G5</f>
        <v>2554838.6699999995</v>
      </c>
      <c r="E5" s="243"/>
      <c r="F5" s="255">
        <f>SUM('DOE25'!J197:J200)+SUM('DOE25'!J215:J218)+SUM('DOE25'!J233:J236)</f>
        <v>14597.39</v>
      </c>
      <c r="G5" s="53">
        <f>SUM('DOE25'!K197:K200)+SUM('DOE25'!K215:K218)+SUM('DOE25'!K233:K236)</f>
        <v>533.22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269190.70999999996</v>
      </c>
      <c r="D6" s="20">
        <f>'DOE25'!L202+'DOE25'!L220+'DOE25'!L238-F6-G6</f>
        <v>268203.78999999998</v>
      </c>
      <c r="E6" s="243"/>
      <c r="F6" s="255">
        <f>'DOE25'!J202+'DOE25'!J220+'DOE25'!J238</f>
        <v>986.92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133804.41</v>
      </c>
      <c r="D7" s="20">
        <f>'DOE25'!L203+'DOE25'!L221+'DOE25'!L239-F7-G7</f>
        <v>133804.41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118437.04000000001</v>
      </c>
      <c r="D8" s="243"/>
      <c r="E8" s="20">
        <f>'DOE25'!L204+'DOE25'!L222+'DOE25'!L240-F8-G8-D9-D11</f>
        <v>115052.3</v>
      </c>
      <c r="F8" s="255">
        <f>'DOE25'!J204+'DOE25'!J222+'DOE25'!J240</f>
        <v>0</v>
      </c>
      <c r="G8" s="53">
        <f>'DOE25'!K204+'DOE25'!K222+'DOE25'!K240</f>
        <v>3384.74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15103.5</v>
      </c>
      <c r="D9" s="244">
        <v>15103.5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84414.96</v>
      </c>
      <c r="D11" s="244">
        <v>84414.96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222862.31</v>
      </c>
      <c r="D12" s="20">
        <f>'DOE25'!L205+'DOE25'!L223+'DOE25'!L241-F12-G12</f>
        <v>221670.82</v>
      </c>
      <c r="E12" s="243"/>
      <c r="F12" s="255">
        <f>'DOE25'!J205+'DOE25'!J223+'DOE25'!J241</f>
        <v>0</v>
      </c>
      <c r="G12" s="53">
        <f>'DOE25'!K205+'DOE25'!K223+'DOE25'!K241</f>
        <v>1191.49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327.75</v>
      </c>
      <c r="D13" s="243"/>
      <c r="E13" s="20">
        <f>'DOE25'!L206+'DOE25'!L224+'DOE25'!L242-F13-G13</f>
        <v>327.75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372668.49</v>
      </c>
      <c r="D14" s="20">
        <f>'DOE25'!L207+'DOE25'!L225+'DOE25'!L243-F14-G14</f>
        <v>366868.44</v>
      </c>
      <c r="E14" s="243"/>
      <c r="F14" s="255">
        <f>'DOE25'!J207+'DOE25'!J225+'DOE25'!J243</f>
        <v>5800.05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159895.95000000001</v>
      </c>
      <c r="D15" s="20">
        <f>'DOE25'!L208+'DOE25'!L226+'DOE25'!L244-F15-G15</f>
        <v>159895.95000000001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40923.019999999997</v>
      </c>
      <c r="D22" s="243"/>
      <c r="E22" s="243"/>
      <c r="F22" s="255">
        <f>'DOE25'!L255+'DOE25'!L336</f>
        <v>40923.019999999997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278694.65000000002</v>
      </c>
      <c r="D25" s="243"/>
      <c r="E25" s="243"/>
      <c r="F25" s="258"/>
      <c r="G25" s="256"/>
      <c r="H25" s="257">
        <f>'DOE25'!L260+'DOE25'!L261+'DOE25'!L341+'DOE25'!L342</f>
        <v>278694.65000000002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98370.01999999999</v>
      </c>
      <c r="D29" s="20">
        <f>'DOE25'!L358+'DOE25'!L359+'DOE25'!L360-'DOE25'!I367-F29-G29</f>
        <v>97688.93</v>
      </c>
      <c r="E29" s="243"/>
      <c r="F29" s="255">
        <f>'DOE25'!J358+'DOE25'!J359+'DOE25'!J360</f>
        <v>0</v>
      </c>
      <c r="G29" s="53">
        <f>'DOE25'!K358+'DOE25'!K359+'DOE25'!K360</f>
        <v>681.09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51366.77</v>
      </c>
      <c r="D31" s="20">
        <f>'DOE25'!L290+'DOE25'!L309+'DOE25'!L328+'DOE25'!L333+'DOE25'!L334+'DOE25'!L335-F31-G31</f>
        <v>40104.14</v>
      </c>
      <c r="E31" s="243"/>
      <c r="F31" s="255">
        <f>'DOE25'!J290+'DOE25'!J309+'DOE25'!J328+'DOE25'!J333+'DOE25'!J334+'DOE25'!J335</f>
        <v>10504.71</v>
      </c>
      <c r="G31" s="53">
        <f>'DOE25'!K290+'DOE25'!K309+'DOE25'!K328+'DOE25'!K333+'DOE25'!K334+'DOE25'!K335</f>
        <v>757.92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3942593.61</v>
      </c>
      <c r="E33" s="246">
        <f>SUM(E5:E31)</f>
        <v>119380.05</v>
      </c>
      <c r="F33" s="246">
        <f>SUM(F5:F31)</f>
        <v>72812.09</v>
      </c>
      <c r="G33" s="246">
        <f>SUM(G5:G31)</f>
        <v>6548.46</v>
      </c>
      <c r="H33" s="246">
        <f>SUM(H5:H31)</f>
        <v>278694.65000000002</v>
      </c>
    </row>
    <row r="35" spans="2:8" ht="12" thickBot="1" x14ac:dyDescent="0.25">
      <c r="B35" s="253" t="s">
        <v>847</v>
      </c>
      <c r="D35" s="254">
        <f>E33</f>
        <v>119380.05</v>
      </c>
      <c r="E35" s="249"/>
    </row>
    <row r="36" spans="2:8" ht="12" thickTop="1" x14ac:dyDescent="0.2">
      <c r="B36" t="s">
        <v>815</v>
      </c>
      <c r="D36" s="20">
        <f>D33</f>
        <v>3942593.61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183965.37</v>
      </c>
      <c r="D8" s="95">
        <f>'DOE25'!G9</f>
        <v>-31329.84</v>
      </c>
      <c r="E8" s="95">
        <f>'DOE25'!H9</f>
        <v>-8642.49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276125.48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3973.73</v>
      </c>
      <c r="D12" s="95">
        <f>'DOE25'!G13</f>
        <v>10084.83</v>
      </c>
      <c r="E12" s="95">
        <f>'DOE25'!H13</f>
        <v>8642.49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21850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209789.1</v>
      </c>
      <c r="D18" s="41">
        <f>SUM(D8:D17)</f>
        <v>-21245.010000000002</v>
      </c>
      <c r="E18" s="41">
        <f>SUM(E8:E17)</f>
        <v>0</v>
      </c>
      <c r="F18" s="41">
        <f>SUM(F8:F17)</f>
        <v>0</v>
      </c>
      <c r="G18" s="41">
        <f>SUM(G8:G17)</f>
        <v>276125.48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19212.25</v>
      </c>
      <c r="D23" s="95">
        <f>'DOE25'!G24</f>
        <v>255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19212.25</v>
      </c>
      <c r="D31" s="41">
        <f>SUM(D21:D30)</f>
        <v>255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159251.87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-21500.01</v>
      </c>
      <c r="E47" s="95">
        <f>'DOE25'!H48</f>
        <v>0</v>
      </c>
      <c r="F47" s="95">
        <f>'DOE25'!I48</f>
        <v>0</v>
      </c>
      <c r="G47" s="95">
        <f>'DOE25'!J48</f>
        <v>276125.48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31324.98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190576.85</v>
      </c>
      <c r="D50" s="41">
        <f>SUM(D34:D49)</f>
        <v>-21500.01</v>
      </c>
      <c r="E50" s="41">
        <f>SUM(E34:E49)</f>
        <v>0</v>
      </c>
      <c r="F50" s="41">
        <f>SUM(F34:F49)</f>
        <v>0</v>
      </c>
      <c r="G50" s="41">
        <f>SUM(G34:G49)</f>
        <v>276125.48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209789.1</v>
      </c>
      <c r="D51" s="41">
        <f>D50+D31</f>
        <v>-21245.01</v>
      </c>
      <c r="E51" s="41">
        <f>E50+E31</f>
        <v>0</v>
      </c>
      <c r="F51" s="41">
        <f>F50+F31</f>
        <v>0</v>
      </c>
      <c r="G51" s="41">
        <f>G50+G31</f>
        <v>276125.48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2947854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45247.6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51.15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62.65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32077.87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15287.18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60585.93</v>
      </c>
      <c r="D62" s="130">
        <f>SUM(D57:D61)</f>
        <v>32077.87</v>
      </c>
      <c r="E62" s="130">
        <f>SUM(E57:E61)</f>
        <v>0</v>
      </c>
      <c r="F62" s="130">
        <f>SUM(F57:F61)</f>
        <v>0</v>
      </c>
      <c r="G62" s="130">
        <f>SUM(G57:G61)</f>
        <v>62.65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3008439.93</v>
      </c>
      <c r="D63" s="22">
        <f>D56+D62</f>
        <v>32077.87</v>
      </c>
      <c r="E63" s="22">
        <f>E56+E62</f>
        <v>0</v>
      </c>
      <c r="F63" s="22">
        <f>F56+F62</f>
        <v>0</v>
      </c>
      <c r="G63" s="22">
        <f>G56+G62</f>
        <v>62.65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1183683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1183683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75159.06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910.28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75159.06</v>
      </c>
      <c r="D78" s="130">
        <f>SUM(D72:D77)</f>
        <v>910.28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1258842.06</v>
      </c>
      <c r="D81" s="130">
        <f>SUM(D79:D80)+D78+D70</f>
        <v>910.28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32507.07</v>
      </c>
      <c r="D88" s="95">
        <f>SUM('DOE25'!G153:G161)</f>
        <v>26105.29</v>
      </c>
      <c r="E88" s="95">
        <f>SUM('DOE25'!H153:H161)</f>
        <v>51366.77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466.7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32973.769999999997</v>
      </c>
      <c r="D91" s="131">
        <f>SUM(D85:D90)</f>
        <v>26105.29</v>
      </c>
      <c r="E91" s="131">
        <f>SUM(E85:E90)</f>
        <v>51366.77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60000</v>
      </c>
      <c r="E96" s="95">
        <f>'DOE25'!H179</f>
        <v>0</v>
      </c>
      <c r="F96" s="95">
        <f>'DOE25'!I179</f>
        <v>0</v>
      </c>
      <c r="G96" s="95">
        <f>'DOE25'!J179</f>
        <v>47500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60000</v>
      </c>
      <c r="E103" s="86">
        <f>SUM(E93:E102)</f>
        <v>0</v>
      </c>
      <c r="F103" s="86">
        <f>SUM(F93:F102)</f>
        <v>0</v>
      </c>
      <c r="G103" s="86">
        <f>SUM(G93:G102)</f>
        <v>47500</v>
      </c>
    </row>
    <row r="104" spans="1:7" ht="12.75" thickTop="1" thickBot="1" x14ac:dyDescent="0.25">
      <c r="A104" s="33" t="s">
        <v>765</v>
      </c>
      <c r="C104" s="86">
        <f>C63+C81+C91+C103</f>
        <v>4300255.76</v>
      </c>
      <c r="D104" s="86">
        <f>D63+D81+D91+D103</f>
        <v>119093.44</v>
      </c>
      <c r="E104" s="86">
        <f>E63+E81+E91+E103</f>
        <v>51366.77</v>
      </c>
      <c r="F104" s="86">
        <f>F63+F81+F91+F103</f>
        <v>0</v>
      </c>
      <c r="G104" s="86">
        <f>G63+G81+G103</f>
        <v>47562.65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1900849.5</v>
      </c>
      <c r="D109" s="24" t="s">
        <v>289</v>
      </c>
      <c r="E109" s="95">
        <f>('DOE25'!L276)+('DOE25'!L295)+('DOE25'!L314)</f>
        <v>16571.61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600629.38</v>
      </c>
      <c r="D110" s="24" t="s">
        <v>289</v>
      </c>
      <c r="E110" s="95">
        <f>('DOE25'!L277)+('DOE25'!L296)+('DOE25'!L315)</f>
        <v>26365.16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68490.399999999994</v>
      </c>
      <c r="D112" s="24" t="s">
        <v>289</v>
      </c>
      <c r="E112" s="95">
        <f>+('DOE25'!L279)+('DOE25'!L298)+('DOE25'!L317)</f>
        <v>2221.81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2569969.2799999998</v>
      </c>
      <c r="D115" s="86">
        <f>SUM(D109:D114)</f>
        <v>0</v>
      </c>
      <c r="E115" s="86">
        <f>SUM(E109:E114)</f>
        <v>45158.58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269190.70999999996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133804.41</v>
      </c>
      <c r="D119" s="24" t="s">
        <v>289</v>
      </c>
      <c r="E119" s="95">
        <f>+('DOE25'!L282)+('DOE25'!L301)+('DOE25'!L320)</f>
        <v>2559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217955.5</v>
      </c>
      <c r="D120" s="24" t="s">
        <v>289</v>
      </c>
      <c r="E120" s="95">
        <f>+('DOE25'!L283)+('DOE25'!L302)+('DOE25'!L321)</f>
        <v>1641.7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222862.31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327.75</v>
      </c>
      <c r="D122" s="24" t="s">
        <v>289</v>
      </c>
      <c r="E122" s="95">
        <f>+('DOE25'!L285)+('DOE25'!L304)+('DOE25'!L323)</f>
        <v>619.52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372668.49</v>
      </c>
      <c r="D123" s="24" t="s">
        <v>289</v>
      </c>
      <c r="E123" s="95">
        <f>+('DOE25'!L286)+('DOE25'!L305)+('DOE25'!L324)</f>
        <v>1387.97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159895.95000000001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140593.44999999998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1376705.1199999999</v>
      </c>
      <c r="D128" s="86">
        <f>SUM(D118:D127)</f>
        <v>140593.44999999998</v>
      </c>
      <c r="E128" s="86">
        <f>SUM(E118:E127)</f>
        <v>6208.19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40923.019999999997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237107.9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41586.75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40040.720000000001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7521.93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-62.650000000001455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427117.67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4373792.0699999994</v>
      </c>
      <c r="D145" s="86">
        <f>(D115+D128+D144)</f>
        <v>140593.44999999998</v>
      </c>
      <c r="E145" s="86">
        <f>(E115+E128+E144)</f>
        <v>51366.770000000004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2371079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1185539.5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1185539.5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237107.9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237107.9</v>
      </c>
    </row>
    <row r="159" spans="1:9" x14ac:dyDescent="0.2">
      <c r="A159" s="22" t="s">
        <v>35</v>
      </c>
      <c r="B159" s="137">
        <f>'DOE25'!F498</f>
        <v>948431.6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948431.6</v>
      </c>
    </row>
    <row r="160" spans="1:9" x14ac:dyDescent="0.2">
      <c r="A160" s="22" t="s">
        <v>36</v>
      </c>
      <c r="B160" s="137">
        <f>'DOE25'!F499</f>
        <v>73977.66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73977.66</v>
      </c>
    </row>
    <row r="161" spans="1:7" x14ac:dyDescent="0.2">
      <c r="A161" s="22" t="s">
        <v>37</v>
      </c>
      <c r="B161" s="137">
        <f>'DOE25'!F500</f>
        <v>1022409.26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1022409.26</v>
      </c>
    </row>
    <row r="162" spans="1:7" x14ac:dyDescent="0.2">
      <c r="A162" s="22" t="s">
        <v>38</v>
      </c>
      <c r="B162" s="137">
        <f>'DOE25'!F501</f>
        <v>237107.9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237107.9</v>
      </c>
    </row>
    <row r="163" spans="1:7" x14ac:dyDescent="0.2">
      <c r="A163" s="22" t="s">
        <v>39</v>
      </c>
      <c r="B163" s="137">
        <f>'DOE25'!F502</f>
        <v>32365.23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32365.23</v>
      </c>
    </row>
    <row r="164" spans="1:7" x14ac:dyDescent="0.2">
      <c r="A164" s="22" t="s">
        <v>246</v>
      </c>
      <c r="B164" s="137">
        <f>'DOE25'!F503</f>
        <v>269473.13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269473.13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Holderness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20991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20991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1917421</v>
      </c>
      <c r="D10" s="182">
        <f>ROUND((C10/$C$28)*100,1)</f>
        <v>46.2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626995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70712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269191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136363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219597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222862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947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374056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159896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41587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108515.13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4148142.13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40923</v>
      </c>
    </row>
    <row r="30" spans="1:4" x14ac:dyDescent="0.2">
      <c r="B30" s="187" t="s">
        <v>729</v>
      </c>
      <c r="C30" s="180">
        <f>SUM(C28:C29)</f>
        <v>4189065.13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237108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2947854</v>
      </c>
      <c r="D35" s="182">
        <f t="shared" ref="D35:D40" si="1">ROUND((C35/$C$41)*100,1)</f>
        <v>67.3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60648.580000000075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1183683</v>
      </c>
      <c r="D37" s="182">
        <f t="shared" si="1"/>
        <v>27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76069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110446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4378700.58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Holderness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2014-08-19T18:21:34Z</cp:lastPrinted>
  <dcterms:created xsi:type="dcterms:W3CDTF">1997-12-04T19:04:30Z</dcterms:created>
  <dcterms:modified xsi:type="dcterms:W3CDTF">2014-08-25T16:28:05Z</dcterms:modified>
</cp:coreProperties>
</file>