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150" windowWidth="10860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5" i="1" l="1"/>
  <c r="C39" i="12" l="1"/>
  <c r="C37" i="12"/>
  <c r="C20" i="12"/>
  <c r="C21" i="12"/>
  <c r="C19" i="12"/>
  <c r="C12" i="12"/>
  <c r="C10" i="12"/>
  <c r="B39" i="12"/>
  <c r="B21" i="12"/>
  <c r="B10" i="12"/>
  <c r="G532" i="1"/>
  <c r="G527" i="1"/>
  <c r="G522" i="1"/>
  <c r="G528" i="1"/>
  <c r="G523" i="1"/>
  <c r="F522" i="1"/>
  <c r="F523" i="1"/>
  <c r="F528" i="1"/>
  <c r="F527" i="1"/>
  <c r="H527" i="1"/>
  <c r="H528" i="1"/>
  <c r="G459" i="1" l="1"/>
  <c r="G465" i="1"/>
  <c r="D9" i="13"/>
  <c r="I426" i="1"/>
  <c r="F426" i="1"/>
  <c r="H226" i="1" l="1"/>
  <c r="H236" i="1"/>
  <c r="H218" i="1"/>
  <c r="H368" i="1"/>
  <c r="G368" i="1"/>
  <c r="H468" i="1"/>
  <c r="H243" i="1" l="1"/>
  <c r="F233" i="1"/>
  <c r="F57" i="1" l="1"/>
  <c r="G468" i="1"/>
  <c r="I360" i="1"/>
  <c r="I359" i="1"/>
  <c r="I241" i="1" l="1"/>
  <c r="I223" i="1"/>
  <c r="I239" i="1"/>
  <c r="I221" i="1"/>
  <c r="H225" i="1"/>
  <c r="H238" i="1"/>
  <c r="H220" i="1"/>
  <c r="H234" i="1"/>
  <c r="H216" i="1"/>
  <c r="F238" i="1"/>
  <c r="F22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H169" i="1" s="1"/>
  <c r="I147" i="1"/>
  <c r="I162" i="1"/>
  <c r="C19" i="10"/>
  <c r="L250" i="1"/>
  <c r="L332" i="1"/>
  <c r="L254" i="1"/>
  <c r="L268" i="1"/>
  <c r="L269" i="1"/>
  <c r="L349" i="1"/>
  <c r="L350" i="1"/>
  <c r="I665" i="1"/>
  <c r="I670" i="1"/>
  <c r="L211" i="1"/>
  <c r="G661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18" i="2"/>
  <c r="E119" i="2"/>
  <c r="E128" i="2" s="1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G408" i="1" s="1"/>
  <c r="H645" i="1" s="1"/>
  <c r="J645" i="1" s="1"/>
  <c r="H401" i="1"/>
  <c r="I401" i="1"/>
  <c r="F407" i="1"/>
  <c r="G407" i="1"/>
  <c r="H407" i="1"/>
  <c r="I407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F460" i="1"/>
  <c r="G460" i="1"/>
  <c r="H460" i="1"/>
  <c r="I460" i="1"/>
  <c r="F461" i="1"/>
  <c r="H461" i="1"/>
  <c r="F470" i="1"/>
  <c r="G470" i="1"/>
  <c r="H470" i="1"/>
  <c r="I470" i="1"/>
  <c r="J470" i="1"/>
  <c r="F474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G634" i="1"/>
  <c r="H635" i="1"/>
  <c r="H636" i="1"/>
  <c r="H637" i="1"/>
  <c r="H638" i="1"/>
  <c r="G639" i="1"/>
  <c r="H639" i="1"/>
  <c r="G640" i="1"/>
  <c r="G641" i="1"/>
  <c r="H641" i="1"/>
  <c r="G643" i="1"/>
  <c r="G644" i="1"/>
  <c r="G645" i="1"/>
  <c r="G649" i="1"/>
  <c r="J649" i="1" s="1"/>
  <c r="G650" i="1"/>
  <c r="G652" i="1"/>
  <c r="H652" i="1"/>
  <c r="G653" i="1"/>
  <c r="H653" i="1"/>
  <c r="G654" i="1"/>
  <c r="H654" i="1"/>
  <c r="H655" i="1"/>
  <c r="J655" i="1" s="1"/>
  <c r="L256" i="1"/>
  <c r="C26" i="10"/>
  <c r="L351" i="1"/>
  <c r="L290" i="1"/>
  <c r="F660" i="1" s="1"/>
  <c r="C70" i="2"/>
  <c r="D62" i="2"/>
  <c r="D63" i="2" s="1"/>
  <c r="D18" i="13"/>
  <c r="C18" i="13" s="1"/>
  <c r="D18" i="2"/>
  <c r="D17" i="13"/>
  <c r="C17" i="13" s="1"/>
  <c r="C91" i="2"/>
  <c r="F78" i="2"/>
  <c r="F81" i="2" s="1"/>
  <c r="D31" i="2"/>
  <c r="D50" i="2"/>
  <c r="F18" i="2"/>
  <c r="E103" i="2"/>
  <c r="E62" i="2"/>
  <c r="E63" i="2" s="1"/>
  <c r="G62" i="2"/>
  <c r="D19" i="13"/>
  <c r="C19" i="13" s="1"/>
  <c r="E13" i="13"/>
  <c r="C13" i="13" s="1"/>
  <c r="E78" i="2"/>
  <c r="E81" i="2" s="1"/>
  <c r="H112" i="1"/>
  <c r="J641" i="1"/>
  <c r="J639" i="1"/>
  <c r="J571" i="1"/>
  <c r="K571" i="1"/>
  <c r="L433" i="1"/>
  <c r="L419" i="1"/>
  <c r="I169" i="1"/>
  <c r="J476" i="1"/>
  <c r="H626" i="1" s="1"/>
  <c r="F476" i="1"/>
  <c r="H622" i="1" s="1"/>
  <c r="I476" i="1"/>
  <c r="H625" i="1" s="1"/>
  <c r="J625" i="1" s="1"/>
  <c r="G476" i="1"/>
  <c r="H623" i="1" s="1"/>
  <c r="J623" i="1" s="1"/>
  <c r="J140" i="1"/>
  <c r="F571" i="1"/>
  <c r="I552" i="1"/>
  <c r="K549" i="1"/>
  <c r="G22" i="2"/>
  <c r="J552" i="1"/>
  <c r="H140" i="1"/>
  <c r="L401" i="1"/>
  <c r="C139" i="2" s="1"/>
  <c r="L393" i="1"/>
  <c r="H25" i="13"/>
  <c r="C25" i="13" s="1"/>
  <c r="H571" i="1"/>
  <c r="L560" i="1"/>
  <c r="H338" i="1"/>
  <c r="H352" i="1" s="1"/>
  <c r="G192" i="1"/>
  <c r="H192" i="1"/>
  <c r="F552" i="1"/>
  <c r="E16" i="13"/>
  <c r="L570" i="1"/>
  <c r="I571" i="1"/>
  <c r="J636" i="1"/>
  <c r="G36" i="2"/>
  <c r="L565" i="1"/>
  <c r="C138" i="2"/>
  <c r="C16" i="13"/>
  <c r="H33" i="13"/>
  <c r="K500" i="1" l="1"/>
  <c r="G157" i="2"/>
  <c r="G156" i="2"/>
  <c r="J617" i="1"/>
  <c r="A31" i="12"/>
  <c r="A13" i="12"/>
  <c r="G545" i="1"/>
  <c r="H552" i="1"/>
  <c r="L539" i="1"/>
  <c r="L534" i="1"/>
  <c r="K550" i="1"/>
  <c r="K552" i="1" s="1"/>
  <c r="L529" i="1"/>
  <c r="K503" i="1"/>
  <c r="G164" i="2"/>
  <c r="G161" i="2"/>
  <c r="I452" i="1"/>
  <c r="I461" i="1" s="1"/>
  <c r="H642" i="1" s="1"/>
  <c r="J642" i="1" s="1"/>
  <c r="G461" i="1"/>
  <c r="H640" i="1" s="1"/>
  <c r="J640" i="1"/>
  <c r="J112" i="1"/>
  <c r="J193" i="1" s="1"/>
  <c r="G646" i="1" s="1"/>
  <c r="J643" i="1"/>
  <c r="I112" i="1"/>
  <c r="G338" i="1"/>
  <c r="G352" i="1" s="1"/>
  <c r="E109" i="2"/>
  <c r="E115" i="2" s="1"/>
  <c r="F338" i="1"/>
  <c r="F352" i="1" s="1"/>
  <c r="L309" i="1"/>
  <c r="L338" i="1" s="1"/>
  <c r="K598" i="1"/>
  <c r="G647" i="1" s="1"/>
  <c r="H647" i="1"/>
  <c r="H662" i="1"/>
  <c r="I662" i="1" s="1"/>
  <c r="D15" i="13"/>
  <c r="C15" i="13" s="1"/>
  <c r="C124" i="2"/>
  <c r="D14" i="13"/>
  <c r="C14" i="13" s="1"/>
  <c r="C112" i="2"/>
  <c r="C13" i="10"/>
  <c r="J622" i="1"/>
  <c r="C18" i="2"/>
  <c r="L362" i="1"/>
  <c r="G635" i="1" s="1"/>
  <c r="J635" i="1" s="1"/>
  <c r="H661" i="1"/>
  <c r="D29" i="13"/>
  <c r="C29" i="13" s="1"/>
  <c r="D127" i="2"/>
  <c r="D128" i="2" s="1"/>
  <c r="D145" i="2" s="1"/>
  <c r="F661" i="1"/>
  <c r="F664" i="1" s="1"/>
  <c r="F667" i="1" s="1"/>
  <c r="D91" i="2"/>
  <c r="G257" i="1"/>
  <c r="G271" i="1" s="1"/>
  <c r="C16" i="10"/>
  <c r="C120" i="2"/>
  <c r="E8" i="13"/>
  <c r="C8" i="13" s="1"/>
  <c r="C15" i="10"/>
  <c r="C118" i="2"/>
  <c r="K257" i="1"/>
  <c r="K271" i="1" s="1"/>
  <c r="F22" i="13"/>
  <c r="C22" i="13" s="1"/>
  <c r="J257" i="1"/>
  <c r="J271" i="1" s="1"/>
  <c r="G651" i="1"/>
  <c r="J651" i="1" s="1"/>
  <c r="I257" i="1"/>
  <c r="I271" i="1" s="1"/>
  <c r="H257" i="1"/>
  <c r="H271" i="1" s="1"/>
  <c r="C18" i="10"/>
  <c r="D7" i="13"/>
  <c r="C7" i="13" s="1"/>
  <c r="C119" i="2"/>
  <c r="D6" i="13"/>
  <c r="C6" i="13" s="1"/>
  <c r="C12" i="10"/>
  <c r="L247" i="1"/>
  <c r="H660" i="1" s="1"/>
  <c r="C11" i="10"/>
  <c r="F257" i="1"/>
  <c r="F271" i="1" s="1"/>
  <c r="C10" i="10"/>
  <c r="C121" i="2"/>
  <c r="C123" i="2"/>
  <c r="C110" i="2"/>
  <c r="C20" i="10"/>
  <c r="C109" i="2"/>
  <c r="D12" i="13"/>
  <c r="C12" i="13" s="1"/>
  <c r="L229" i="1"/>
  <c r="D5" i="13"/>
  <c r="C5" i="13" s="1"/>
  <c r="F672" i="1"/>
  <c r="C4" i="10" s="1"/>
  <c r="C78" i="2"/>
  <c r="C81" i="2" s="1"/>
  <c r="F112" i="1"/>
  <c r="C35" i="10"/>
  <c r="C56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E104" i="2"/>
  <c r="I663" i="1"/>
  <c r="J647" i="1" l="1"/>
  <c r="C104" i="2"/>
  <c r="L545" i="1"/>
  <c r="G104" i="2"/>
  <c r="H646" i="1"/>
  <c r="G51" i="2"/>
  <c r="C36" i="10"/>
  <c r="D31" i="13"/>
  <c r="C31" i="13" s="1"/>
  <c r="G660" i="1"/>
  <c r="G664" i="1" s="1"/>
  <c r="G672" i="1" s="1"/>
  <c r="C5" i="10" s="1"/>
  <c r="L352" i="1"/>
  <c r="G633" i="1" s="1"/>
  <c r="H472" i="1"/>
  <c r="F193" i="1"/>
  <c r="G627" i="1" s="1"/>
  <c r="J627" i="1" s="1"/>
  <c r="C27" i="10"/>
  <c r="C28" i="10" s="1"/>
  <c r="D22" i="10" s="1"/>
  <c r="H664" i="1"/>
  <c r="H672" i="1" s="1"/>
  <c r="C6" i="10" s="1"/>
  <c r="I661" i="1"/>
  <c r="D104" i="2"/>
  <c r="E33" i="13"/>
  <c r="D35" i="13" s="1"/>
  <c r="C115" i="2"/>
  <c r="C128" i="2"/>
  <c r="L257" i="1"/>
  <c r="L271" i="1" s="1"/>
  <c r="G632" i="1" s="1"/>
  <c r="J632" i="1" s="1"/>
  <c r="I660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H474" i="1"/>
  <c r="H476" i="1" s="1"/>
  <c r="H624" i="1" s="1"/>
  <c r="J624" i="1" s="1"/>
  <c r="H633" i="1"/>
  <c r="J633" i="1" s="1"/>
  <c r="I664" i="1"/>
  <c r="I672" i="1" s="1"/>
  <c r="C7" i="10" s="1"/>
  <c r="H667" i="1"/>
  <c r="C145" i="2"/>
  <c r="D15" i="10"/>
  <c r="D20" i="10"/>
  <c r="D25" i="10"/>
  <c r="D18" i="10"/>
  <c r="D19" i="10"/>
  <c r="D27" i="10"/>
  <c r="D17" i="10"/>
  <c r="D12" i="10"/>
  <c r="D24" i="10"/>
  <c r="D10" i="10"/>
  <c r="D26" i="10"/>
  <c r="C30" i="10"/>
  <c r="D16" i="10"/>
  <c r="D23" i="10"/>
  <c r="D13" i="10"/>
  <c r="D11" i="10"/>
  <c r="D21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<sst xmlns="http://schemas.openxmlformats.org/spreadsheetml/2006/main" count="3963" uniqueCount="921">
  <si>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</si>
  <si>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</si>
  <si>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</si>
  <si>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</si>
  <si>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</si>
  <si>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</si>
  <si>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</si>
  <si>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</si>
  <si>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</si>
  <si>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</si>
  <si>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</si>
  <si>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</si>
  <si>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</si>
  <si>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</si>
  <si>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</si>
  <si>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</si>
  <si>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</si>
  <si>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</si>
  <si>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</si>
  <si>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</si>
  <si>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</si>
  <si>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</si>
  <si>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</si>
  <si>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</si>
  <si>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</si>
  <si>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</si>
  <si>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</si>
  <si>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</si>
  <si>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</si>
  <si>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</si>
  <si>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</si>
  <si>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</si>
  <si>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</si>
  <si>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</si>
  <si>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</si>
  <si>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</si>
  <si>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</si>
  <si>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</si>
  <si>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</si>
  <si>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</si>
  <si>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</si>
  <si>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</si>
  <si>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</si>
  <si>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</si>
  <si>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</si>
  <si>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</si>
  <si>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</si>
  <si>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</si>
  <si>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</si>
  <si>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</si>
  <si>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</si>
  <si>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</si>
  <si>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</si>
  <si>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</si>
  <si>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</si>
  <si>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</si>
  <si>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</si>
  <si>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</si>
  <si>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</si>
  <si>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</si>
  <si>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</si>
  <si>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</si>
  <si>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</si>
  <si>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</si>
  <si>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</si>
  <si>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</si>
  <si>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</si>
  <si>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</si>
  <si>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</si>
  <si>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</si>
  <si>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</si>
  <si>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</si>
  <si>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</si>
  <si>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</si>
  <si>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</si>
  <si>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</si>
  <si>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</si>
  <si>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</si>
  <si>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</si>
  <si>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</si>
  <si>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</si>
  <si>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</si>
  <si>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</si>
  <si>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</si>
  <si>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</si>
  <si>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</si>
  <si>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</si>
  <si>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</si>
  <si>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</si>
  <si>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</si>
  <si>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</si>
  <si>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</si>
  <si>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</si>
  <si>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</si>
  <si>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</si>
  <si>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</si>
  <si>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</si>
  <si>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</si>
  <si>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</si>
  <si>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</si>
  <si>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</si>
  <si>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</si>
  <si>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</si>
  <si>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</si>
  <si>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</si>
  <si>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</si>
  <si>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</si>
  <si>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</si>
  <si>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</si>
  <si>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</si>
  <si>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</si>
  <si>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</si>
  <si>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</si>
  <si>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</si>
  <si>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</si>
  <si>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</si>
  <si>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</si>
  <si>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</si>
  <si>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</si>
  <si>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</si>
  <si>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</si>
  <si>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</si>
  <si>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</si>
  <si>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</si>
  <si>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</si>
  <si>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</si>
  <si>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</si>
  <si>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</si>
  <si>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</si>
  <si>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</si>
  <si>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</si>
  <si>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</si>
  <si>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</si>
  <si>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</si>
  <si>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</si>
  <si>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</si>
  <si>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</si>
  <si>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</si>
  <si>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</si>
  <si>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</si>
  <si>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</si>
  <si>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</si>
  <si>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</si>
  <si>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</si>
  <si>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</si>
  <si>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</si>
  <si>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</si>
  <si>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</si>
  <si>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</si>
  <si>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</si>
  <si>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</si>
  <si>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</si>
  <si>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</si>
  <si>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</si>
  <si>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</si>
  <si>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</si>
  <si>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</si>
  <si>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</si>
  <si>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</si>
  <si>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</si>
  <si>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</si>
  <si>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</si>
  <si>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</si>
  <si>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</si>
  <si>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</si>
  <si>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</si>
  <si>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</si>
  <si>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</si>
  <si>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</si>
  <si>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</si>
  <si>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</si>
  <si>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</si>
  <si>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</si>
  <si>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</si>
  <si>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</si>
  <si>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</si>
  <si>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</si>
  <si>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</si>
  <si>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</si>
  <si>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</si>
  <si>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</si>
  <si>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</si>
  <si>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</si>
  <si>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</si>
  <si>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</si>
  <si>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</si>
  <si>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</si>
  <si>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</si>
  <si>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</si>
  <si>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</si>
  <si>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</si>
  <si>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</si>
  <si>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</si>
  <si>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</si>
  <si>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</si>
  <si>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</si>
  <si>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</si>
  <si>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</si>
  <si>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</si>
  <si>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</si>
  <si>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</si>
  <si>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</si>
  <si>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</si>
  <si>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</si>
  <si>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</si>
  <si>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</si>
  <si>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</si>
  <si>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</si>
  <si>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</si>
  <si>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</si>
  <si>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</si>
  <si>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</si>
  <si>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</si>
  <si>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</si>
  <si>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</si>
  <si>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</si>
  <si>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</si>
  <si>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</si>
  <si>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</si>
  <si>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</si>
  <si>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</si>
  <si>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</si>
  <si>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</si>
  <si>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</si>
  <si>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</si>
  <si>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</si>
  <si>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</si>
  <si>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</si>
  <si>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</si>
  <si>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</si>
  <si>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</si>
  <si>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</si>
  <si>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</si>
  <si>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</si>
  <si>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</si>
  <si>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</si>
  <si>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</si>
  <si>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</si>
  <si>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</si>
  <si>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</si>
  <si>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</si>
  <si>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</si>
  <si>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</si>
  <si>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</si>
  <si>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</si>
  <si>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</si>
  <si>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</si>
  <si>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</si>
  <si>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</si>
  <si>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</si>
  <si>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</si>
  <si>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</si>
  <si>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</si>
  <si>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</si>
  <si>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</si>
  <si>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</si>
  <si>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</si>
  <si>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</si>
  <si>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</si>
  <si>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</si>
  <si>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</si>
  <si>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</si>
  <si>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</si>
  <si>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</si>
  <si>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</si>
  <si>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</si>
  <si>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</si>
  <si>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</si>
  <si>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</si>
  <si>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</si>
  <si>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</si>
  <si>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</si>
  <si>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</si>
  <si>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</si>
  <si>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</si>
  <si>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</si>
  <si>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</si>
  <si>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</si>
  <si>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</si>
  <si>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</si>
  <si>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</si>
  <si>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</si>
  <si>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</si>
  <si>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</si>
  <si>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</si>
  <si>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</si>
  <si>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</si>
  <si>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</si>
  <si>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</si>
  <si>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</si>
  <si>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</si>
  <si>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</si>
  <si>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</si>
  <si>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</si>
  <si>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</si>
  <si>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</si>
  <si>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</si>
  <si>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</si>
  <si>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</si>
  <si>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</si>
  <si>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</si>
  <si>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</si>
  <si>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</si>
  <si>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</si>
  <si>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</si>
  <si>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</si>
  <si>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</si>
  <si>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</si>
  <si>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</si>
  <si>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</si>
  <si>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</si>
  <si>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</si>
  <si>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</si>
  <si>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</si>
  <si>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</si>
  <si>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</si>
  <si>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</si>
  <si>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</si>
  <si>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</si>
  <si>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</si>
  <si>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</si>
  <si>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</si>
  <si>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</si>
  <si>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</si>
  <si>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</si>
  <si>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</si>
  <si>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</si>
  <si>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</si>
  <si>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</si>
  <si>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</si>
  <si>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</si>
  <si>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</si>
  <si>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</si>
  <si>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</si>
  <si>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</si>
  <si>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</si>
  <si>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</si>
  <si>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</si>
  <si>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</si>
  <si>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</si>
  <si>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</si>
  <si>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</si>
  <si>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</si>
  <si>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</si>
  <si>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</si>
  <si>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</si>
  <si>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</si>
  <si>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</si>
  <si>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</si>
  <si>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</si>
  <si>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</si>
  <si>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</si>
  <si>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</si>
  <si>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</si>
  <si>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</si>
  <si>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</si>
  <si>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</si>
  <si>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</si>
  <si>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</si>
  <si>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</si>
  <si>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</si>
  <si>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</si>
  <si>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</si>
  <si>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</si>
  <si>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</si>
  <si>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</si>
  <si>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</si>
  <si>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</si>
  <si>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</si>
  <si>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</si>
  <si>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</si>
  <si>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</si>
  <si>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</si>
  <si>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</si>
  <si>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</si>
  <si>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</si>
  <si>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</si>
  <si>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</si>
  <si>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</si>
  <si>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</si>
  <si>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</si>
  <si>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</si>
  <si>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</si>
  <si>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</si>
  <si>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</si>
  <si>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</si>
  <si>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</si>
  <si>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</si>
  <si>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</si>
  <si>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</si>
  <si>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</si>
  <si>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</si>
  <si>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</si>
  <si>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</si>
  <si>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</si>
  <si>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</si>
  <si>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</si>
  <si>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</si>
  <si>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</si>
  <si>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</si>
  <si>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</si>
  <si>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</si>
  <si>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</si>
  <si>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</si>
  <si>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</si>
  <si>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</si>
  <si>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</si>
  <si>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</si>
  <si>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</si>
  <si>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</si>
  <si>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</si>
  <si>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</si>
  <si>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</si>
  <si>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</si>
  <si>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</si>
  <si>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</si>
  <si>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</si>
  <si>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</si>
  <si>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</si>
  <si>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</si>
  <si>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</si>
  <si>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</si>
  <si>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</si>
  <si>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</si>
  <si>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</si>
  <si>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</si>
  <si>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</si>
  <si>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</si>
  <si>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</si>
  <si>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</si>
  <si>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</si>
  <si>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</si>
  <si>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</si>
  <si>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</si>
  <si>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</si>
  <si>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</si>
  <si>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</si>
  <si>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</si>
  <si>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</si>
  <si>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</si>
  <si>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</si>
  <si>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</si>
  <si>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</si>
  <si>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</si>
  <si>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</si>
  <si>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</si>
  <si>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</si>
  <si>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</si>
  <si>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</si>
  <si>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</si>
  <si>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</si>
  <si>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</si>
  <si>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</si>
  <si>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</si>
  <si>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</si>
  <si>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</si>
  <si>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</si>
  <si>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</si>
  <si>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</si>
  <si>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</si>
  <si>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</si>
  <si>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</si>
  <si>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</si>
  <si>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</si>
  <si>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</si>
  <si>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</si>
  <si>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</si>
  <si>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</si>
  <si>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</si>
  <si>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</si>
  <si>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</si>
  <si>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</si>
  <si>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</si>
  <si>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</si>
  <si>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</si>
  <si>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</si>
  <si>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</si>
  <si>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</si>
  <si>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</si>
  <si>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</si>
  <si>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</si>
  <si>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</si>
  <si>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</si>
  <si>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</si>
  <si>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</si>
  <si>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</si>
  <si>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</si>
  <si>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</si>
  <si>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</si>
  <si>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</si>
  <si>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</si>
  <si>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</si>
  <si>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</si>
  <si>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</si>
  <si>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</si>
  <si>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</si>
  <si>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</si>
  <si>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</si>
  <si>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</si>
  <si>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</si>
  <si>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</si>
  <si>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</si>
  <si>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</si>
  <si>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</si>
  <si>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</si>
  <si>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</si>
  <si>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</si>
  <si>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</si>
  <si>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</si>
  <si>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</si>
  <si>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</si>
  <si>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</si>
  <si>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</si>
  <si>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</si>
  <si>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</si>
  <si>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</si>
  <si>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</si>
  <si>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</si>
  <si>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</si>
  <si>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</si>
  <si>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</si>
  <si>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</si>
  <si>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</si>
  <si>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</si>
  <si>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</si>
  <si>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</si>
  <si>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</si>
  <si>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</si>
  <si>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</si>
  <si>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</si>
  <si>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</si>
  <si>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</si>
  <si>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</si>
  <si>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</si>
  <si>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</si>
  <si>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</si>
  <si>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</si>
  <si>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</si>
  <si>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</si>
  <si>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</si>
  <si>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</si>
  <si>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</si>
  <si>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</si>
  <si>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</si>
  <si>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</si>
  <si>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</si>
  <si>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</si>
  <si>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</si>
  <si>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</si>
  <si>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</si>
  <si>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</si>
  <si>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</si>
  <si>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</si>
  <si>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</si>
  <si>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</si>
  <si>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</si>
  <si>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</si>
  <si>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</si>
  <si>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</si>
  <si>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</si>
  <si>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</si>
  <si>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</si>
  <si>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</si>
  <si>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</si>
  <si>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</si>
  <si>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</si>
  <si>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</si>
  <si>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</si>
  <si>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</si>
  <si>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</si>
  <si>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</si>
  <si>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</si>
  <si>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</si>
  <si>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</si>
  <si>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</si>
  <si>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</si>
  <si>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</si>
  <si>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</si>
  <si>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</si>
  <si>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</si>
  <si>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</si>
  <si>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</si>
  <si>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</si>
  <si>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</si>
  <si>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</si>
  <si>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</si>
  <si>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</si>
  <si>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</si>
  <si>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</si>
  <si>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</si>
  <si>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</si>
  <si>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</si>
  <si>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</si>
  <si>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</si>
  <si>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</si>
  <si>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</si>
  <si>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</si>
  <si>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</si>
  <si>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</si>
  <si>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</si>
  <si>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</si>
  <si>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</si>
  <si>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</si>
  <si>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</si>
  <si>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</si>
  <si>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</si>
  <si>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</si>
  <si>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</si>
  <si>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</si>
  <si>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</si>
  <si>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</si>
  <si>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</si>
  <si>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</si>
  <si>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</si>
  <si>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</si>
  <si>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</si>
  <si>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</si>
  <si>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</si>
  <si>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</si>
  <si>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</si>
  <si>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</si>
  <si>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</si>
  <si>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</si>
  <si>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</si>
  <si>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</si>
  <si>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</si>
  <si>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</si>
  <si>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</si>
  <si>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</si>
  <si>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</si>
  <si>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</si>
  <si>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</si>
  <si>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</si>
  <si>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</si>
  <si>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</si>
  <si>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</si>
  <si>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</si>
  <si>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</si>
  <si>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</si>
  <si>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</si>
  <si>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</si>
  <si>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</si>
  <si>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</si>
  <si>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</si>
  <si>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</si>
  <si>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</si>
  <si>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</si>
  <si>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</si>
  <si>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</si>
  <si>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</si>
  <si>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</si>
  <si>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</si>
  <si>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</si>
  <si>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</si>
  <si>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</si>
  <si>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</si>
  <si>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</si>
  <si>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</si>
  <si>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</si>
  <si>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</si>
  <si>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</si>
  <si>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</si>
  <si>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</si>
  <si>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</si>
  <si>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</si>
  <si>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</si>
  <si>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</si>
  <si>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</si>
  <si>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</si>
  <si>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</si>
  <si>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</si>
  <si>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</si>
  <si>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</si>
  <si>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</si>
  <si>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</si>
  <si>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</si>
  <si>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</si>
  <si>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</si>
  <si>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</si>
  <si>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</si>
  <si>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</si>
  <si>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</si>
  <si>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</si>
  <si>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</si>
  <si>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</si>
  <si>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</si>
  <si>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</si>
  <si>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</si>
  <si>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</si>
  <si>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</si>
  <si>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</si>
  <si>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</si>
  <si>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</si>
  <si>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</si>
  <si>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</si>
  <si>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</si>
  <si>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</si>
  <si>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</si>
  <si>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</si>
  <si>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</si>
  <si>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</si>
  <si>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</si>
  <si>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</si>
  <si>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</si>
  <si>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</si>
  <si>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</si>
  <si>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</si>
  <si>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</si>
  <si>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</si>
  <si>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</si>
  <si>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</si>
  <si>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</si>
  <si>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</si>
  <si>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</si>
  <si>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</si>
  <si>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</si>
  <si>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</si>
  <si>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</si>
  <si>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</si>
  <si>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</si>
  <si>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</si>
  <si>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</si>
  <si>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</si>
  <si>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</si>
  <si>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</si>
  <si>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</si>
  <si>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</si>
  <si>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</si>
  <si>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</si>
  <si>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</si>
  <si>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</si>
  <si>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</si>
  <si>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</si>
  <si>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</si>
  <si>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</si>
  <si>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</si>
  <si>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</si>
  <si>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</si>
  <si>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</si>
  <si>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</si>
  <si>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</si>
  <si>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</si>
  <si>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</si>
  <si>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</si>
  <si>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</si>
  <si>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</si>
  <si>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</si>
  <si>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</si>
  <si>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</si>
  <si>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</si>
  <si>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</si>
  <si>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</si>
  <si>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</si>
  <si>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</si>
  <si>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</si>
  <si>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</si>
  <si>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</si>
  <si>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</si>
  <si>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</si>
  <si>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</si>
  <si>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</si>
  <si>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</si>
  <si>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</si>
  <si>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</si>
  <si>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</si>
  <si>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</si>
  <si>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</si>
  <si>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</si>
  <si>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</si>
  <si>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</si>
  <si>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</si>
  <si>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</si>
  <si>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</si>
  <si>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</si>
  <si>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</si>
  <si>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</si>
  <si>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</si>
  <si>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</si>
  <si>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</si>
  <si>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</si>
  <si>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</si>
  <si>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</si>
  <si>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</si>
  <si>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</si>
  <si>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</si>
  <si>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</si>
  <si>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</si>
  <si>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</si>
  <si>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</si>
  <si>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</si>
  <si>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</si>
  <si>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</si>
  <si>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</si>
  <si>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</si>
  <si>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</si>
  <si>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</si>
  <si>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</si>
  <si>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</si>
  <si>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</si>
  <si>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</si>
  <si>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</si>
  <si>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</si>
  <si>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</si>
  <si>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</si>
  <si>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</si>
  <si>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</si>
  <si>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</si>
  <si>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</si>
  <si>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</si>
  <si>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</si>
  <si>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</si>
  <si>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</si>
  <si>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</si>
  <si>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</si>
  <si>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</si>
  <si>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</si>
  <si>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</si>
  <si>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</si>
  <si>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</si>
  <si>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</si>
  <si>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</si>
  <si>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</si>
  <si>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</si>
  <si>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</si>
  <si>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</si>
  <si>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</si>
  <si>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</si>
  <si>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</si>
  <si>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</si>
  <si>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</si>
  <si>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</si>
  <si>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</si>
  <si>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</si>
  <si>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</si>
  <si>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</si>
  <si>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</si>
  <si>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</si>
  <si>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</si>
  <si>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</si>
  <si>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</si>
  <si>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</si>
  <si>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</si>
  <si>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</si>
  <si>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</si>
  <si>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</si>
  <si>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</si>
  <si>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</si>
  <si>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</si>
  <si>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</si>
  <si>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</si>
  <si>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</si>
  <si>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</si>
  <si>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</si>
  <si>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</si>
  <si>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</si>
  <si>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</si>
  <si>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</si>
  <si>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</si>
  <si>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</si>
  <si>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</si>
  <si>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</si>
  <si>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</si>
  <si>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</si>
  <si>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</si>
  <si>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</si>
  <si>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</si>
  <si>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</si>
  <si>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</si>
  <si>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</si>
  <si>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</si>
  <si>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</si>
  <si>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</si>
  <si>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</si>
  <si>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</si>
  <si>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</si>
  <si>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</si>
  <si>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</si>
  <si>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</si>
  <si>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</si>
  <si>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</si>
  <si>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</si>
  <si>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</si>
  <si>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</si>
  <si>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</si>
  <si>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</si>
  <si>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</si>
  <si>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</si>
  <si>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</si>
  <si>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</si>
  <si>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</si>
  <si>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</si>
  <si>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</si>
  <si>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</si>
  <si>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</si>
  <si>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</si>
  <si>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</si>
  <si>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</si>
  <si>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</si>
  <si>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</si>
  <si>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</si>
  <si>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</si>
  <si>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</si>
  <si>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</si>
  <si>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</si>
  <si>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</si>
  <si>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</si>
  <si>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</si>
  <si>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</si>
  <si>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</si>
  <si>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</si>
  <si>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</si>
  <si>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08/04</t>
  </si>
  <si>
    <t>08/96</t>
  </si>
  <si>
    <t>08/24</t>
  </si>
  <si>
    <t>08/15</t>
  </si>
  <si>
    <t>08/16</t>
  </si>
  <si>
    <t>Hollis Brookline Cooperative</t>
  </si>
  <si>
    <t>08/00</t>
  </si>
  <si>
    <t>8/96</t>
  </si>
  <si>
    <t>8/16</t>
  </si>
  <si>
    <t>LGC Surplus Return = 206803.95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</si>
</sst>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2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4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4" fillId="0" borderId="0"/>
    <xf numFmtId="0" fontId="4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323">
    <xf numFmtId="0" fontId="0" fillId="0" borderId="0" xfId="0"/>
    <xf numFmtId="164" fontId="5" fillId="0" borderId="0" xfId="0" applyNumberFormat="1" applyFont="1" applyAlignment="1" applyProtection="1">
      <alignment horizontal="left"/>
    </xf>
    <xf numFmtId="165" fontId="5" fillId="0" borderId="0" xfId="0" applyNumberFormat="1" applyFont="1" applyAlignment="1" applyProtection="1">
      <alignment horizontal="left"/>
    </xf>
    <xf numFmtId="0" fontId="5" fillId="0" borderId="0" xfId="0" applyFont="1"/>
    <xf numFmtId="0" fontId="5" fillId="0" borderId="0" xfId="0" applyFont="1" applyProtection="1">
      <protection locked="0"/>
    </xf>
    <xf numFmtId="164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Protection="1"/>
    <xf numFmtId="165" fontId="6" fillId="0" borderId="0" xfId="0" applyNumberFormat="1" applyFont="1" applyProtection="1">
      <protection locked="0"/>
    </xf>
    <xf numFmtId="164" fontId="6" fillId="0" borderId="0" xfId="0" applyNumberFormat="1" applyFont="1" applyProtection="1">
      <protection locked="0"/>
    </xf>
    <xf numFmtId="4" fontId="6" fillId="0" borderId="0" xfId="0" applyNumberFormat="1" applyFont="1" applyProtection="1">
      <protection locked="0"/>
    </xf>
    <xf numFmtId="0" fontId="5" fillId="0" borderId="1" xfId="0" applyFont="1" applyBorder="1"/>
    <xf numFmtId="0" fontId="0" fillId="0" borderId="2" xfId="0" applyBorder="1"/>
    <xf numFmtId="40" fontId="5" fillId="0" borderId="0" xfId="0" applyNumberFormat="1" applyFont="1"/>
    <xf numFmtId="40" fontId="5" fillId="0" borderId="0" xfId="0" applyNumberFormat="1" applyFont="1" applyAlignment="1" applyProtection="1">
      <alignment horizontal="left"/>
    </xf>
    <xf numFmtId="40" fontId="5" fillId="0" borderId="0" xfId="0" quotePrefix="1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  <protection locked="0"/>
    </xf>
    <xf numFmtId="40" fontId="6" fillId="0" borderId="0" xfId="0" applyNumberFormat="1" applyFont="1" applyProtection="1">
      <protection locked="0"/>
    </xf>
    <xf numFmtId="40" fontId="5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7" fillId="0" borderId="0" xfId="0" applyNumberFormat="1" applyFont="1" applyProtection="1"/>
    <xf numFmtId="0" fontId="5" fillId="0" borderId="0" xfId="0" applyFont="1" applyAlignment="1">
      <alignment horizontal="center"/>
    </xf>
    <xf numFmtId="40" fontId="5" fillId="2" borderId="0" xfId="0" applyNumberFormat="1" applyFont="1" applyFill="1" applyAlignment="1" applyProtection="1">
      <alignment horizontal="left"/>
    </xf>
    <xf numFmtId="40" fontId="9" fillId="0" borderId="0" xfId="0" applyNumberFormat="1" applyFont="1" applyAlignment="1" applyProtection="1">
      <alignment horizontal="center"/>
    </xf>
    <xf numFmtId="40" fontId="9" fillId="0" borderId="0" xfId="0" applyNumberFormat="1" applyFont="1" applyAlignment="1" applyProtection="1">
      <alignment horizontal="left"/>
    </xf>
    <xf numFmtId="0" fontId="10" fillId="0" borderId="0" xfId="0" applyFont="1"/>
    <xf numFmtId="0" fontId="11" fillId="0" borderId="0" xfId="0" applyFont="1"/>
    <xf numFmtId="164" fontId="9" fillId="0" borderId="0" xfId="0" applyNumberFormat="1" applyFont="1" applyAlignment="1" applyProtection="1">
      <alignment horizontal="left"/>
    </xf>
    <xf numFmtId="164" fontId="10" fillId="0" borderId="0" xfId="0" applyNumberFormat="1" applyFont="1" applyAlignment="1" applyProtection="1">
      <alignment horizontal="left"/>
    </xf>
    <xf numFmtId="165" fontId="1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3" fillId="0" borderId="0" xfId="0" applyFont="1"/>
    <xf numFmtId="0" fontId="9" fillId="0" borderId="0" xfId="0" applyFont="1"/>
    <xf numFmtId="165" fontId="15" fillId="0" borderId="0" xfId="0" applyNumberFormat="1" applyFont="1" applyProtection="1">
      <protection locked="0"/>
    </xf>
    <xf numFmtId="165" fontId="5" fillId="0" borderId="0" xfId="0" applyNumberFormat="1" applyFont="1" applyBorder="1" applyAlignment="1" applyProtection="1">
      <alignment horizontal="left"/>
    </xf>
    <xf numFmtId="165" fontId="5" fillId="0" borderId="0" xfId="0" applyNumberFormat="1" applyFont="1" applyBorder="1" applyAlignment="1" applyProtection="1">
      <alignment horizontal="center"/>
    </xf>
    <xf numFmtId="164" fontId="9" fillId="0" borderId="3" xfId="0" applyNumberFormat="1" applyFont="1" applyBorder="1" applyAlignment="1" applyProtection="1">
      <alignment horizontal="left"/>
    </xf>
    <xf numFmtId="165" fontId="5" fillId="0" borderId="3" xfId="0" applyNumberFormat="1" applyFont="1" applyBorder="1" applyAlignment="1" applyProtection="1">
      <alignment horizontal="left"/>
    </xf>
    <xf numFmtId="165" fontId="5" fillId="0" borderId="3" xfId="0" applyNumberFormat="1" applyFont="1" applyBorder="1" applyAlignment="1" applyProtection="1">
      <alignment horizontal="center"/>
    </xf>
    <xf numFmtId="40" fontId="5" fillId="0" borderId="3" xfId="0" applyNumberFormat="1" applyFont="1" applyBorder="1" applyProtection="1"/>
    <xf numFmtId="40" fontId="0" fillId="0" borderId="3" xfId="0" applyNumberFormat="1" applyBorder="1"/>
    <xf numFmtId="0" fontId="13" fillId="0" borderId="3" xfId="0" applyFont="1" applyBorder="1"/>
    <xf numFmtId="0" fontId="5" fillId="0" borderId="3" xfId="0" applyFont="1" applyBorder="1" applyAlignment="1">
      <alignment horizontal="center"/>
    </xf>
    <xf numFmtId="40" fontId="5" fillId="2" borderId="3" xfId="0" applyNumberFormat="1" applyFont="1" applyFill="1" applyBorder="1" applyAlignment="1" applyProtection="1">
      <alignment horizontal="left"/>
    </xf>
    <xf numFmtId="0" fontId="9" fillId="0" borderId="3" xfId="0" applyFont="1" applyBorder="1"/>
    <xf numFmtId="40" fontId="5" fillId="0" borderId="3" xfId="0" applyNumberFormat="1" applyFont="1" applyBorder="1"/>
    <xf numFmtId="165" fontId="5" fillId="0" borderId="4" xfId="0" applyNumberFormat="1" applyFont="1" applyBorder="1" applyAlignment="1" applyProtection="1">
      <alignment horizontal="left"/>
    </xf>
    <xf numFmtId="40" fontId="5" fillId="2" borderId="4" xfId="0" applyNumberFormat="1" applyFont="1" applyFill="1" applyBorder="1" applyAlignment="1" applyProtection="1">
      <alignment horizontal="left"/>
    </xf>
    <xf numFmtId="164" fontId="9" fillId="0" borderId="4" xfId="0" applyNumberFormat="1" applyFont="1" applyBorder="1" applyAlignment="1" applyProtection="1">
      <alignment horizontal="left"/>
    </xf>
    <xf numFmtId="165" fontId="5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3" fillId="0" borderId="0" xfId="0" applyFont="1" applyBorder="1"/>
    <xf numFmtId="0" fontId="9" fillId="0" borderId="0" xfId="0" applyFont="1" applyBorder="1"/>
    <xf numFmtId="40" fontId="5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/>
    <xf numFmtId="165" fontId="5" fillId="0" borderId="6" xfId="0" applyNumberFormat="1" applyFont="1" applyBorder="1" applyAlignment="1" applyProtection="1">
      <alignment horizontal="left"/>
    </xf>
    <xf numFmtId="40" fontId="6" fillId="0" borderId="6" xfId="0" applyNumberFormat="1" applyFont="1" applyBorder="1" applyProtection="1">
      <protection locked="0"/>
    </xf>
    <xf numFmtId="40" fontId="6" fillId="0" borderId="0" xfId="0" applyNumberFormat="1" applyFont="1" applyBorder="1" applyProtection="1">
      <protection locked="0"/>
    </xf>
    <xf numFmtId="40" fontId="7" fillId="0" borderId="3" xfId="0" applyNumberFormat="1" applyFont="1" applyBorder="1" applyProtection="1">
      <protection locked="0"/>
    </xf>
    <xf numFmtId="40" fontId="7" fillId="0" borderId="0" xfId="0" applyNumberFormat="1" applyFont="1" applyBorder="1" applyProtection="1">
      <protection locked="0"/>
    </xf>
    <xf numFmtId="40" fontId="5" fillId="0" borderId="0" xfId="0" applyNumberFormat="1" applyFont="1" applyBorder="1" applyProtection="1"/>
    <xf numFmtId="165" fontId="6" fillId="0" borderId="0" xfId="0" applyNumberFormat="1" applyFont="1" applyBorder="1" applyProtection="1">
      <protection locked="0"/>
    </xf>
    <xf numFmtId="164" fontId="5" fillId="0" borderId="0" xfId="0" applyNumberFormat="1" applyFont="1" applyBorder="1" applyAlignment="1" applyProtection="1">
      <alignment horizontal="left"/>
    </xf>
    <xf numFmtId="164" fontId="9" fillId="0" borderId="0" xfId="0" applyNumberFormat="1" applyFont="1" applyBorder="1" applyAlignment="1" applyProtection="1">
      <alignment horizontal="left"/>
    </xf>
    <xf numFmtId="165" fontId="5" fillId="0" borderId="6" xfId="0" applyNumberFormat="1" applyFont="1" applyBorder="1" applyAlignment="1" applyProtection="1">
      <alignment horizontal="center"/>
    </xf>
    <xf numFmtId="40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164" fontId="9" fillId="0" borderId="6" xfId="0" applyNumberFormat="1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165" fontId="9" fillId="0" borderId="0" xfId="0" applyNumberFormat="1" applyFont="1" applyAlignment="1" applyProtection="1">
      <alignment horizontal="left"/>
    </xf>
    <xf numFmtId="40" fontId="5" fillId="0" borderId="0" xfId="0" applyNumberFormat="1" applyFont="1" applyBorder="1" applyAlignment="1">
      <alignment horizontal="center"/>
    </xf>
    <xf numFmtId="49" fontId="9" fillId="0" borderId="0" xfId="0" applyNumberFormat="1" applyFont="1" applyAlignment="1" applyProtection="1">
      <alignment horizontal="left"/>
    </xf>
    <xf numFmtId="49" fontId="5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5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7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7" fillId="0" borderId="0" xfId="0" applyNumberFormat="1" applyFont="1" applyBorder="1" applyAlignment="1" applyProtection="1">
      <alignment horizontal="right"/>
    </xf>
    <xf numFmtId="40" fontId="7" fillId="0" borderId="0" xfId="0" applyNumberFormat="1" applyFont="1" applyAlignment="1" applyProtection="1">
      <alignment horizontal="right"/>
    </xf>
    <xf numFmtId="40" fontId="7" fillId="0" borderId="3" xfId="0" applyNumberFormat="1" applyFont="1" applyBorder="1" applyAlignment="1" applyProtection="1">
      <alignment horizontal="right"/>
    </xf>
    <xf numFmtId="0" fontId="9" fillId="0" borderId="0" xfId="0" applyFont="1" applyBorder="1" applyProtection="1"/>
    <xf numFmtId="0" fontId="13" fillId="0" borderId="3" xfId="0" applyFont="1" applyBorder="1" applyProtection="1"/>
    <xf numFmtId="0" fontId="13" fillId="0" borderId="0" xfId="0" applyFont="1" applyBorder="1" applyProtection="1"/>
    <xf numFmtId="0" fontId="14" fillId="0" borderId="0" xfId="0" applyFont="1" applyBorder="1" applyProtection="1"/>
    <xf numFmtId="0" fontId="16" fillId="0" borderId="0" xfId="0" applyFont="1" applyBorder="1" applyProtection="1"/>
    <xf numFmtId="40" fontId="6" fillId="0" borderId="0" xfId="0" applyNumberFormat="1" applyFont="1" applyProtection="1"/>
    <xf numFmtId="40" fontId="17" fillId="0" borderId="0" xfId="0" applyNumberFormat="1" applyFont="1" applyProtection="1"/>
    <xf numFmtId="40" fontId="17" fillId="0" borderId="0" xfId="0" applyNumberFormat="1" applyFont="1" applyBorder="1" applyProtection="1"/>
    <xf numFmtId="40" fontId="17" fillId="0" borderId="3" xfId="0" applyNumberFormat="1" applyFont="1" applyBorder="1" applyProtection="1"/>
    <xf numFmtId="40" fontId="7" fillId="0" borderId="0" xfId="0" applyNumberFormat="1" applyFont="1" applyBorder="1" applyProtection="1"/>
    <xf numFmtId="40" fontId="17" fillId="0" borderId="0" xfId="0" applyNumberFormat="1" applyFont="1" applyBorder="1" applyAlignment="1" applyProtection="1">
      <alignment horizontal="center"/>
    </xf>
    <xf numFmtId="40" fontId="7" fillId="0" borderId="0" xfId="0" applyNumberFormat="1" applyFont="1" applyBorder="1" applyAlignment="1" applyProtection="1">
      <alignment horizontal="center"/>
    </xf>
    <xf numFmtId="0" fontId="7" fillId="0" borderId="0" xfId="0" applyNumberFormat="1" applyFont="1" applyAlignment="1" applyProtection="1">
      <alignment horizontal="center" vertical="justify"/>
    </xf>
    <xf numFmtId="40" fontId="7" fillId="0" borderId="0" xfId="0" applyNumberFormat="1" applyFont="1" applyAlignment="1" applyProtection="1">
      <alignment horizontal="center" vertical="justify"/>
    </xf>
    <xf numFmtId="40" fontId="7" fillId="0" borderId="0" xfId="0" applyNumberFormat="1" applyFont="1" applyAlignment="1" applyProtection="1">
      <alignment horizontal="right" vertical="justify"/>
    </xf>
    <xf numFmtId="0" fontId="5" fillId="0" borderId="0" xfId="0" applyFont="1" applyBorder="1" applyAlignment="1" applyProtection="1">
      <alignment horizontal="center"/>
    </xf>
    <xf numFmtId="40" fontId="7" fillId="0" borderId="0" xfId="0" applyNumberFormat="1" applyFont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40" fontId="7" fillId="0" borderId="3" xfId="0" applyNumberFormat="1" applyFont="1" applyBorder="1" applyAlignment="1" applyProtection="1">
      <alignment horizontal="right" vertical="justify"/>
    </xf>
    <xf numFmtId="40" fontId="7" fillId="0" borderId="0" xfId="0" applyNumberFormat="1" applyFont="1" applyBorder="1" applyAlignment="1" applyProtection="1">
      <alignment horizontal="right" vertical="justify"/>
    </xf>
    <xf numFmtId="49" fontId="5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6" fillId="0" borderId="0" xfId="0" applyNumberFormat="1" applyFont="1" applyAlignment="1" applyProtection="1"/>
    <xf numFmtId="40" fontId="17" fillId="0" borderId="0" xfId="0" applyNumberFormat="1" applyFont="1" applyAlignment="1" applyProtection="1">
      <alignment horizontal="center" vertical="justify"/>
    </xf>
    <xf numFmtId="40" fontId="17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3" fillId="0" borderId="0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quotePrefix="1" applyNumberFormat="1" applyFont="1" applyAlignment="1" applyProtection="1">
      <alignment horizontal="left"/>
    </xf>
    <xf numFmtId="14" fontId="5" fillId="0" borderId="0" xfId="0" quotePrefix="1" applyNumberFormat="1" applyFont="1" applyAlignment="1" applyProtection="1">
      <alignment horizontal="left"/>
    </xf>
    <xf numFmtId="40" fontId="7" fillId="0" borderId="0" xfId="0" quotePrefix="1" applyNumberFormat="1" applyFont="1" applyBorder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Continuous" vertical="justify"/>
    </xf>
    <xf numFmtId="40" fontId="17" fillId="0" borderId="0" xfId="0" applyNumberFormat="1" applyFont="1" applyAlignment="1" applyProtection="1">
      <alignment horizontal="centerContinuous"/>
    </xf>
    <xf numFmtId="40" fontId="5" fillId="0" borderId="0" xfId="0" applyNumberFormat="1" applyFont="1" applyProtection="1">
      <protection locked="0"/>
    </xf>
    <xf numFmtId="40" fontId="5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5" fillId="0" borderId="0" xfId="0" applyFont="1" applyProtection="1"/>
    <xf numFmtId="0" fontId="9" fillId="0" borderId="0" xfId="0" applyFont="1" applyProtection="1"/>
    <xf numFmtId="40" fontId="18" fillId="0" borderId="0" xfId="0" applyNumberFormat="1" applyFont="1"/>
    <xf numFmtId="40" fontId="7" fillId="0" borderId="4" xfId="0" applyNumberFormat="1" applyFont="1" applyBorder="1" applyProtection="1"/>
    <xf numFmtId="40" fontId="19" fillId="0" borderId="4" xfId="0" applyNumberFormat="1" applyFont="1" applyBorder="1"/>
    <xf numFmtId="0" fontId="0" fillId="0" borderId="0" xfId="0" applyAlignment="1"/>
    <xf numFmtId="0" fontId="5" fillId="0" borderId="0" xfId="0" applyNumberFormat="1" applyFont="1" applyAlignment="1" applyProtection="1">
      <alignment horizontal="left"/>
    </xf>
    <xf numFmtId="0" fontId="5" fillId="0" borderId="0" xfId="0" applyNumberFormat="1" applyFont="1" applyProtection="1">
      <protection locked="0"/>
    </xf>
    <xf numFmtId="40" fontId="17" fillId="0" borderId="0" xfId="0" applyNumberFormat="1" applyFont="1" applyAlignment="1" applyProtection="1"/>
    <xf numFmtId="40" fontId="7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7" fillId="0" borderId="3" xfId="0" applyNumberFormat="1" applyFont="1" applyBorder="1" applyProtection="1"/>
    <xf numFmtId="40" fontId="7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5" fillId="0" borderId="0" xfId="0" applyNumberFormat="1" applyFont="1" applyAlignment="1" applyProtection="1">
      <alignment horizontal="left"/>
    </xf>
    <xf numFmtId="40" fontId="7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6" fillId="0" borderId="0" xfId="0" applyNumberFormat="1" applyFont="1" applyProtection="1">
      <protection locked="0"/>
    </xf>
    <xf numFmtId="40" fontId="7" fillId="0" borderId="0" xfId="0" applyNumberFormat="1" applyFont="1" applyBorder="1" applyAlignment="1" applyProtection="1">
      <alignment horizontal="left"/>
    </xf>
    <xf numFmtId="40" fontId="17" fillId="0" borderId="0" xfId="0" quotePrefix="1" applyNumberFormat="1" applyFont="1" applyAlignment="1" applyProtection="1">
      <alignment horizontal="left"/>
    </xf>
    <xf numFmtId="0" fontId="7" fillId="0" borderId="3" xfId="0" applyNumberFormat="1" applyFont="1" applyBorder="1" applyAlignment="1" applyProtection="1">
      <alignment horizontal="center" vertical="justify"/>
    </xf>
    <xf numFmtId="40" fontId="7" fillId="0" borderId="3" xfId="0" applyNumberFormat="1" applyFont="1" applyBorder="1" applyAlignment="1" applyProtection="1">
      <alignment horizontal="center" vertical="justify"/>
    </xf>
    <xf numFmtId="40" fontId="20" fillId="0" borderId="0" xfId="0" quotePrefix="1" applyNumberFormat="1" applyFont="1" applyBorder="1" applyAlignment="1" applyProtection="1">
      <alignment horizontal="center" vertical="justify"/>
    </xf>
    <xf numFmtId="40" fontId="20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6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3" xfId="0" applyFont="1" applyBorder="1" applyAlignment="1" applyProtection="1">
      <alignment horizontal="left"/>
    </xf>
    <xf numFmtId="0" fontId="5" fillId="0" borderId="0" xfId="0" applyFont="1" applyAlignment="1">
      <alignment horizontal="left"/>
    </xf>
    <xf numFmtId="49" fontId="23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0" fontId="24" fillId="0" borderId="0" xfId="0" applyFont="1" applyBorder="1" applyAlignment="1" applyProtection="1">
      <alignment horizontal="center"/>
    </xf>
    <xf numFmtId="14" fontId="24" fillId="0" borderId="0" xfId="0" quotePrefix="1" applyNumberFormat="1" applyFont="1" applyAlignment="1" applyProtection="1">
      <alignment horizontal="left"/>
    </xf>
    <xf numFmtId="40" fontId="20" fillId="0" borderId="0" xfId="0" applyNumberFormat="1" applyFont="1" applyAlignment="1" applyProtection="1">
      <alignment horizontal="right" vertical="justify"/>
    </xf>
    <xf numFmtId="40" fontId="20" fillId="0" borderId="0" xfId="0" quotePrefix="1" applyNumberFormat="1" applyFont="1" applyAlignment="1" applyProtection="1">
      <alignment horizontal="left" vertical="justify"/>
    </xf>
    <xf numFmtId="40" fontId="20" fillId="0" borderId="0" xfId="0" applyNumberFormat="1" applyFont="1" applyAlignment="1" applyProtection="1">
      <alignment horizontal="center" vertical="justify"/>
      <protection locked="0"/>
    </xf>
    <xf numFmtId="40" fontId="20" fillId="0" borderId="0" xfId="0" applyNumberFormat="1" applyFont="1" applyAlignment="1" applyProtection="1">
      <alignment horizontal="right"/>
    </xf>
    <xf numFmtId="165" fontId="25" fillId="0" borderId="0" xfId="0" applyNumberFormat="1" applyFont="1" applyProtection="1">
      <protection locked="0"/>
    </xf>
    <xf numFmtId="0" fontId="24" fillId="0" borderId="0" xfId="0" applyFont="1"/>
    <xf numFmtId="164" fontId="26" fillId="0" borderId="0" xfId="0" applyNumberFormat="1" applyFont="1" applyAlignment="1" applyProtection="1">
      <alignment horizontal="left"/>
    </xf>
    <xf numFmtId="40" fontId="7" fillId="0" borderId="0" xfId="0" applyNumberFormat="1" applyFont="1" applyAlignment="1" applyProtection="1">
      <alignment horizontal="left"/>
    </xf>
    <xf numFmtId="40" fontId="22" fillId="0" borderId="3" xfId="0" applyNumberFormat="1" applyFont="1" applyBorder="1" applyProtection="1"/>
    <xf numFmtId="40" fontId="22" fillId="0" borderId="0" xfId="0" applyNumberFormat="1" applyFont="1" applyProtection="1"/>
    <xf numFmtId="40" fontId="7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5" fillId="0" borderId="0" xfId="0" applyNumberFormat="1" applyFont="1" applyBorder="1" applyProtection="1">
      <protection locked="0"/>
    </xf>
    <xf numFmtId="40" fontId="5" fillId="0" borderId="0" xfId="0" quotePrefix="1" applyNumberFormat="1" applyFont="1" applyBorder="1" applyAlignment="1">
      <alignment horizontal="center"/>
    </xf>
    <xf numFmtId="40" fontId="17" fillId="0" borderId="0" xfId="0" quotePrefix="1" applyNumberFormat="1" applyFont="1" applyProtection="1"/>
    <xf numFmtId="38" fontId="0" fillId="0" borderId="0" xfId="0" applyNumberFormat="1"/>
    <xf numFmtId="38" fontId="13" fillId="0" borderId="0" xfId="0" applyNumberFormat="1" applyFont="1"/>
    <xf numFmtId="0" fontId="13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3" fillId="0" borderId="0" xfId="0" applyNumberFormat="1" applyFont="1"/>
    <xf numFmtId="0" fontId="14" fillId="0" borderId="0" xfId="0" applyFont="1"/>
    <xf numFmtId="49" fontId="29" fillId="0" borderId="0" xfId="0" applyNumberFormat="1" applyFont="1"/>
    <xf numFmtId="0" fontId="30" fillId="0" borderId="0" xfId="0" applyFont="1"/>
    <xf numFmtId="0" fontId="30" fillId="0" borderId="0" xfId="0" quotePrefix="1" applyFont="1" applyAlignment="1">
      <alignment horizontal="left"/>
    </xf>
    <xf numFmtId="0" fontId="14" fillId="0" borderId="0" xfId="0" quotePrefix="1" applyFont="1" applyBorder="1" applyAlignment="1" applyProtection="1">
      <alignment horizontal="left"/>
    </xf>
    <xf numFmtId="40" fontId="7" fillId="0" borderId="0" xfId="0" quotePrefix="1" applyNumberFormat="1" applyFont="1" applyAlignment="1" applyProtection="1">
      <alignment horizontal="left"/>
    </xf>
    <xf numFmtId="0" fontId="5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</xf>
    <xf numFmtId="40" fontId="7" fillId="0" borderId="4" xfId="0" applyNumberFormat="1" applyFont="1" applyBorder="1" applyAlignment="1" applyProtection="1">
      <alignment horizontal="right"/>
    </xf>
    <xf numFmtId="40" fontId="5" fillId="2" borderId="0" xfId="0" applyNumberFormat="1" applyFont="1" applyFill="1" applyBorder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/>
    </xf>
    <xf numFmtId="0" fontId="5" fillId="0" borderId="3" xfId="0" applyNumberFormat="1" applyFont="1" applyBorder="1" applyAlignment="1" applyProtection="1">
      <alignment horizontal="left"/>
    </xf>
    <xf numFmtId="0" fontId="5" fillId="0" borderId="4" xfId="0" applyNumberFormat="1" applyFont="1" applyBorder="1" applyAlignment="1" applyProtection="1">
      <alignment horizontal="left"/>
    </xf>
    <xf numFmtId="164" fontId="24" fillId="0" borderId="0" xfId="0" applyNumberFormat="1" applyFont="1" applyAlignment="1" applyProtection="1">
      <alignment horizontal="left"/>
    </xf>
    <xf numFmtId="40" fontId="24" fillId="0" borderId="0" xfId="0" applyNumberFormat="1" applyFont="1" applyProtection="1"/>
    <xf numFmtId="40" fontId="7" fillId="0" borderId="5" xfId="0" applyNumberFormat="1" applyFont="1" applyBorder="1" applyProtection="1"/>
    <xf numFmtId="0" fontId="5" fillId="0" borderId="5" xfId="0" applyFont="1" applyBorder="1" applyAlignment="1">
      <alignment horizontal="center"/>
    </xf>
    <xf numFmtId="0" fontId="5" fillId="0" borderId="5" xfId="0" applyNumberFormat="1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left"/>
    </xf>
    <xf numFmtId="40" fontId="6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5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3" fillId="3" borderId="0" xfId="0" applyNumberFormat="1" applyFont="1" applyFill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4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4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5" fillId="4" borderId="0" xfId="0" applyNumberFormat="1" applyFont="1" applyFill="1" applyAlignment="1" applyProtection="1">
      <alignment horizontal="center"/>
    </xf>
    <xf numFmtId="40" fontId="24" fillId="0" borderId="0" xfId="0" applyNumberFormat="1" applyFont="1" applyAlignment="1" applyProtection="1">
      <alignment horizontal="center"/>
    </xf>
    <xf numFmtId="40" fontId="24" fillId="0" borderId="0" xfId="0" applyNumberFormat="1" applyFont="1"/>
    <xf numFmtId="0" fontId="9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0" fontId="13" fillId="0" borderId="14" xfId="0" applyNumberFormat="1" applyFont="1" applyBorder="1"/>
    <xf numFmtId="4" fontId="13" fillId="0" borderId="0" xfId="0" applyNumberFormat="1" applyFont="1" applyBorder="1"/>
    <xf numFmtId="4" fontId="13" fillId="0" borderId="5" xfId="0" applyNumberFormat="1" applyFont="1" applyBorder="1"/>
    <xf numFmtId="49" fontId="8" fillId="0" borderId="0" xfId="0" applyNumberFormat="1" applyFont="1"/>
    <xf numFmtId="0" fontId="13" fillId="0" borderId="0" xfId="0" applyFont="1" applyAlignment="1">
      <alignment horizontal="right"/>
    </xf>
    <xf numFmtId="4" fontId="13" fillId="0" borderId="14" xfId="0" applyNumberFormat="1" applyFont="1" applyBorder="1"/>
    <xf numFmtId="40" fontId="13" fillId="0" borderId="14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4" fontId="27" fillId="0" borderId="0" xfId="0" applyNumberFormat="1" applyFont="1" applyAlignment="1" applyProtection="1">
      <alignment horizontal="left"/>
    </xf>
    <xf numFmtId="4" fontId="8" fillId="0" borderId="0" xfId="0" applyNumberFormat="1" applyFont="1" applyProtection="1">
      <protection locked="0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3" fillId="0" borderId="0" xfId="0" applyNumberFormat="1" applyFont="1"/>
    <xf numFmtId="40" fontId="13" fillId="0" borderId="8" xfId="0" applyNumberFormat="1" applyFont="1" applyBorder="1"/>
    <xf numFmtId="2" fontId="8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166" fontId="13" fillId="0" borderId="0" xfId="0" applyNumberFormat="1" applyFont="1"/>
    <xf numFmtId="0" fontId="13" fillId="0" borderId="1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5" fillId="0" borderId="0" xfId="0" applyFont="1"/>
    <xf numFmtId="49" fontId="30" fillId="0" borderId="0" xfId="0" applyNumberFormat="1" applyFont="1" applyAlignment="1">
      <alignment horizontal="left"/>
    </xf>
    <xf numFmtId="0" fontId="8" fillId="0" borderId="0" xfId="0" applyFont="1"/>
    <xf numFmtId="166" fontId="8" fillId="0" borderId="0" xfId="0" applyNumberFormat="1" applyFont="1"/>
    <xf numFmtId="0" fontId="40" fillId="0" borderId="0" xfId="0" applyFont="1"/>
    <xf numFmtId="0" fontId="29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8" fontId="6" fillId="0" borderId="0" xfId="7" applyNumberFormat="1" applyFont="1" applyAlignment="1" applyProtection="1">
      <alignment horizontal="center"/>
      <protection locked="0"/>
    </xf>
    <xf numFmtId="49" fontId="6" fillId="0" borderId="0" xfId="7" applyNumberFormat="1" applyFont="1" applyAlignment="1" applyProtection="1">
      <alignment horizontal="center"/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38" fontId="6" fillId="0" borderId="0" xfId="7" applyNumberFormat="1" applyFont="1" applyAlignment="1" applyProtection="1">
      <alignment horizontal="center"/>
      <protection locked="0"/>
    </xf>
    <xf numFmtId="49" fontId="6" fillId="0" borderId="0" xfId="7" applyNumberFormat="1" applyFont="1" applyAlignment="1" applyProtection="1">
      <alignment horizontal="center"/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38" fontId="6" fillId="0" borderId="0" xfId="7" applyNumberFormat="1" applyFont="1" applyAlignment="1" applyProtection="1">
      <alignment horizontal="center"/>
      <protection locked="0"/>
    </xf>
    <xf numFmtId="49" fontId="6" fillId="0" borderId="0" xfId="7" applyNumberFormat="1" applyFont="1" applyAlignment="1" applyProtection="1">
      <alignment horizontal="center"/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38" fontId="6" fillId="0" borderId="0" xfId="7" quotePrefix="1" applyNumberFormat="1" applyFont="1" applyAlignment="1" applyProtection="1">
      <alignment horizontal="center"/>
      <protection locked="0"/>
    </xf>
    <xf numFmtId="38" fontId="6" fillId="0" borderId="0" xfId="7" applyNumberFormat="1" applyFont="1" applyAlignment="1" applyProtection="1">
      <alignment horizontal="center"/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38" fontId="6" fillId="0" borderId="0" xfId="7" quotePrefix="1" applyNumberFormat="1" applyFont="1" applyAlignment="1" applyProtection="1">
      <alignment horizontal="center"/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40" fontId="6" fillId="0" borderId="0" xfId="7" applyNumberFormat="1" applyFont="1" applyProtection="1">
      <protection locked="0"/>
    </xf>
    <xf numFmtId="40" fontId="6" fillId="0" borderId="5" xfId="7" applyNumberFormat="1" applyFont="1" applyBorder="1" applyProtection="1">
      <protection locked="0"/>
    </xf>
    <xf numFmtId="40" fontId="6" fillId="0" borderId="0" xfId="0" applyNumberFormat="1" applyFont="1" applyProtection="1">
      <protection locked="0"/>
    </xf>
    <xf numFmtId="40" fontId="6" fillId="0" borderId="0" xfId="0" applyNumberFormat="1" applyFont="1" applyProtection="1">
      <protection locked="0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0" xfId="0" applyAlignment="1"/>
    <xf numFmtId="0" fontId="28" fillId="0" borderId="0" xfId="0" applyFont="1" applyAlignment="1">
      <alignment horizontal="center"/>
    </xf>
    <xf numFmtId="49" fontId="14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Alignment="1" applyProtection="1">
      <alignment horizontal="left"/>
    </xf>
    <xf numFmtId="49" fontId="14" fillId="0" borderId="0" xfId="0" applyNumberFormat="1" applyFont="1" applyBorder="1" applyAlignment="1" applyProtection="1">
      <alignment horizontal="left"/>
      <protection locked="0"/>
    </xf>
    <xf numFmtId="49" fontId="14" fillId="0" borderId="10" xfId="0" applyNumberFormat="1" applyFont="1" applyBorder="1" applyAlignment="1" applyProtection="1">
      <alignment horizontal="left"/>
      <protection locked="0"/>
    </xf>
    <xf numFmtId="0" fontId="31" fillId="0" borderId="22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34" fillId="0" borderId="0" xfId="0" applyNumberFormat="1" applyFont="1" applyBorder="1" applyAlignment="1"/>
    <xf numFmtId="0" fontId="34" fillId="0" borderId="0" xfId="0" applyFont="1" applyBorder="1" applyAlignment="1"/>
    <xf numFmtId="0" fontId="33" fillId="0" borderId="11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9" fontId="14" fillId="0" borderId="0" xfId="0" applyNumberFormat="1" applyFont="1" applyBorder="1" applyAlignment="1" applyProtection="1">
      <alignment horizontal="left"/>
    </xf>
    <xf numFmtId="49" fontId="14" fillId="0" borderId="10" xfId="0" applyNumberFormat="1" applyFont="1" applyBorder="1" applyAlignment="1" applyProtection="1">
      <alignment horizontal="left"/>
    </xf>
    <xf numFmtId="49" fontId="13" fillId="0" borderId="0" xfId="0" applyNumberFormat="1" applyFont="1" applyAlignment="1" applyProtection="1">
      <alignment horizontal="center"/>
    </xf>
    <xf numFmtId="49" fontId="14" fillId="0" borderId="13" xfId="0" applyNumberFormat="1" applyFont="1" applyBorder="1" applyAlignment="1" applyProtection="1">
      <alignment horizontal="left"/>
      <protection locked="0"/>
    </xf>
    <xf numFmtId="49" fontId="14" fillId="0" borderId="21" xfId="0" applyNumberFormat="1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center"/>
    </xf>
  </cellXfs>
  <cellStyles count="14">
    <cellStyle name="Comma 2" xfId="3"/>
    <cellStyle name="Normal" xfId="0" builtinId="0"/>
    <cellStyle name="Normal 2" xfId="4"/>
    <cellStyle name="Normal 2 2" xfId="10"/>
    <cellStyle name="Normal 3" xfId="1"/>
    <cellStyle name="Normal 3 2" xfId="8"/>
    <cellStyle name="Normal 4" xfId="5"/>
    <cellStyle name="Normal 4 2" xfId="11"/>
    <cellStyle name="Normal 5" xfId="7"/>
    <cellStyle name="Normal 5 2" xfId="13"/>
    <cellStyle name="Percent 2" xfId="2"/>
    <cellStyle name="Percent 2 2" xfId="9"/>
    <cellStyle name="Percent 3" xfId="6"/>
    <cellStyle name="Percent 3 2" xfId="1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5" zoomScaleNormal="115" workbookViewId="0">
      <pane xSplit="5" ySplit="3" topLeftCell="F644" activePane="bottomRight" state="frozen"/>
      <selection activeCell="J619" sqref="J619"/>
      <selection pane="topRight" activeCell="J619" sqref="J619"/>
      <selection pane="bottomLeft" activeCell="J619" sqref="J619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916</v>
      </c>
      <c r="B2" s="21">
        <v>260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544588.91</v>
      </c>
      <c r="G9" s="18">
        <v>52258.9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7811.42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121912.42</v>
      </c>
      <c r="G12" s="18">
        <v>59548.73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8456</v>
      </c>
      <c r="G13" s="18">
        <v>2519.29</v>
      </c>
      <c r="H13" s="18">
        <v>255763.5</v>
      </c>
      <c r="I13" s="18"/>
      <c r="J13" s="67">
        <f>SUM(I442)</f>
        <v>86949.11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12483.92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9650.1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12569.9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-1344.42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706478.15000000014</v>
      </c>
      <c r="G19" s="41">
        <f>SUM(G9:G18)</f>
        <v>123977.02</v>
      </c>
      <c r="H19" s="41">
        <f>SUM(H9:H18)</f>
        <v>255763.5</v>
      </c>
      <c r="I19" s="41">
        <f>SUM(I9:I18)</f>
        <v>0</v>
      </c>
      <c r="J19" s="41">
        <f>SUM(J9:J18)</f>
        <v>86949.11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243724.49</v>
      </c>
      <c r="I22" s="18"/>
      <c r="J22" s="67">
        <f>SUM(I448)</f>
        <v>74557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47660.92</v>
      </c>
      <c r="G23" s="18"/>
      <c r="H23" s="18"/>
      <c r="I23" s="18"/>
      <c r="J23" s="67">
        <f>SUM(I449)</f>
        <v>7373.6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162740.07</v>
      </c>
      <c r="G24" s="18">
        <v>194.82</v>
      </c>
      <c r="H24" s="18">
        <v>12039.01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24723.89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70302.84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200</v>
      </c>
      <c r="G30" s="18">
        <v>15246.04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305627.71999999997</v>
      </c>
      <c r="G32" s="41">
        <f>SUM(G22:G31)</f>
        <v>15440.86</v>
      </c>
      <c r="H32" s="41">
        <f>SUM(H22:H31)</f>
        <v>255763.5</v>
      </c>
      <c r="I32" s="41">
        <f>SUM(I22:I31)</f>
        <v>0</v>
      </c>
      <c r="J32" s="41">
        <f>SUM(J22:J31)</f>
        <v>81930.600000000006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9650.1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12569.9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98886.06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121762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5018.51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12381.49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164137.04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400850.43</v>
      </c>
      <c r="G51" s="41">
        <f>SUM(G35:G50)</f>
        <v>108536.16</v>
      </c>
      <c r="H51" s="41">
        <f>SUM(H35:H50)</f>
        <v>0</v>
      </c>
      <c r="I51" s="41">
        <f>SUM(I35:I50)</f>
        <v>0</v>
      </c>
      <c r="J51" s="41">
        <f>SUM(J35:J50)</f>
        <v>5018.51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706478.14999999991</v>
      </c>
      <c r="G52" s="41">
        <f>G51+G32</f>
        <v>123977.02</v>
      </c>
      <c r="H52" s="41">
        <f>H51+H32</f>
        <v>255763.5</v>
      </c>
      <c r="I52" s="41">
        <f>I51+I32</f>
        <v>0</v>
      </c>
      <c r="J52" s="41">
        <f>J51+J32</f>
        <v>86949.11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5673940.75+7614918.25</f>
        <v>13288859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13288859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5195.99</v>
      </c>
      <c r="G96" s="18"/>
      <c r="H96" s="18"/>
      <c r="I96" s="18"/>
      <c r="J96" s="18">
        <v>16.71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389077.66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56861.27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3165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31341.24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238588.11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335151.61</v>
      </c>
      <c r="G111" s="41">
        <f>SUM(G96:G110)</f>
        <v>389077.66</v>
      </c>
      <c r="H111" s="41">
        <f>SUM(H96:H110)</f>
        <v>0</v>
      </c>
      <c r="I111" s="41">
        <f>SUM(I96:I110)</f>
        <v>0</v>
      </c>
      <c r="J111" s="41">
        <f>SUM(J96:J110)</f>
        <v>16.71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13624010.609999999</v>
      </c>
      <c r="G112" s="41">
        <f>G60+G111</f>
        <v>389077.66</v>
      </c>
      <c r="H112" s="41">
        <f>H60+H79+H94+H111</f>
        <v>0</v>
      </c>
      <c r="I112" s="41">
        <f>I60+I111</f>
        <v>0</v>
      </c>
      <c r="J112" s="41">
        <f>J60+J111</f>
        <v>16.71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3131246.86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2134982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5266228.8599999994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398486.78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341142.52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6918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3896.1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746547.3</v>
      </c>
      <c r="G136" s="41">
        <f>SUM(G123:G135)</f>
        <v>3896.1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6012776.1599999992</v>
      </c>
      <c r="G140" s="41">
        <f>G121+SUM(G136:G137)</f>
        <v>3896.1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12972.12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12972.12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4936.05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15216.78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38614.400000000001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313496.34000000003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118715.84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118715.84</v>
      </c>
      <c r="G162" s="41">
        <f>SUM(G150:G161)</f>
        <v>38614.400000000001</v>
      </c>
      <c r="H162" s="41">
        <f>SUM(H150:H161)</f>
        <v>333649.17000000004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118715.84</v>
      </c>
      <c r="G169" s="41">
        <f>G147+G162+SUM(G163:G168)</f>
        <v>51586.520000000004</v>
      </c>
      <c r="H169" s="41">
        <f>H147+H162+SUM(H163:H168)</f>
        <v>333649.17000000004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55000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55000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5623.38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5623.38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5623.38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55000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19761125.989999998</v>
      </c>
      <c r="G193" s="47">
        <f>G112+G140+G169+G192</f>
        <v>444560.27999999997</v>
      </c>
      <c r="H193" s="47">
        <f>H112+H140+H169+H192</f>
        <v>333649.17000000004</v>
      </c>
      <c r="I193" s="47">
        <f>I112+I140+I169+I192</f>
        <v>0</v>
      </c>
      <c r="J193" s="47">
        <f>J112+J140+J192</f>
        <v>55016.71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1826117.53</v>
      </c>
      <c r="G215" s="18">
        <v>776570.41</v>
      </c>
      <c r="H215" s="18">
        <v>7673.39</v>
      </c>
      <c r="I215" s="18">
        <v>38995.25</v>
      </c>
      <c r="J215" s="18">
        <v>39775.919999999998</v>
      </c>
      <c r="K215" s="18">
        <v>1087</v>
      </c>
      <c r="L215" s="19">
        <f>SUM(F215:K215)</f>
        <v>2690219.5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558231.98</v>
      </c>
      <c r="G216" s="18">
        <v>236796.69</v>
      </c>
      <c r="H216" s="18">
        <f>329574.09+2845.26</f>
        <v>332419.35000000003</v>
      </c>
      <c r="I216" s="18">
        <v>1324.36</v>
      </c>
      <c r="J216" s="18">
        <v>1804.46</v>
      </c>
      <c r="K216" s="18">
        <v>125</v>
      </c>
      <c r="L216" s="19">
        <f>SUM(F216:K216)</f>
        <v>1130701.8400000001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50310.5</v>
      </c>
      <c r="G218" s="18">
        <v>21395.68</v>
      </c>
      <c r="H218" s="18">
        <f>15756.11-7419.11</f>
        <v>8337</v>
      </c>
      <c r="I218" s="18">
        <v>6211.09</v>
      </c>
      <c r="J218" s="18"/>
      <c r="K218" s="18"/>
      <c r="L218" s="19">
        <f>SUM(F218:K218)</f>
        <v>86254.26999999999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290241.38+12267.07</f>
        <v>302508.45</v>
      </c>
      <c r="G220" s="18">
        <v>128648.56</v>
      </c>
      <c r="H220" s="18">
        <f>50011.08+24613.83</f>
        <v>74624.91</v>
      </c>
      <c r="I220" s="18">
        <v>2648.47</v>
      </c>
      <c r="J220" s="18">
        <v>2559.58</v>
      </c>
      <c r="K220" s="18"/>
      <c r="L220" s="19">
        <f t="shared" ref="L220:L226" si="2">SUM(F220:K220)</f>
        <v>510989.97000000003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43890</v>
      </c>
      <c r="G221" s="18">
        <v>18665.22</v>
      </c>
      <c r="H221" s="18">
        <v>1159.69</v>
      </c>
      <c r="I221" s="18">
        <f>9358.12+4488.86</f>
        <v>13846.98</v>
      </c>
      <c r="J221" s="18">
        <v>1011.25</v>
      </c>
      <c r="K221" s="18"/>
      <c r="L221" s="19">
        <f t="shared" si="2"/>
        <v>78573.14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261776.87</v>
      </c>
      <c r="I222" s="18">
        <v>2696.62</v>
      </c>
      <c r="J222" s="18"/>
      <c r="K222" s="18">
        <v>1566.17</v>
      </c>
      <c r="L222" s="19">
        <f t="shared" si="2"/>
        <v>266039.65999999997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285504.96999999997</v>
      </c>
      <c r="G223" s="18">
        <v>121417.45</v>
      </c>
      <c r="H223" s="18">
        <v>32370.87</v>
      </c>
      <c r="I223" s="18">
        <f>5403.14+1596.29</f>
        <v>6999.43</v>
      </c>
      <c r="J223" s="18">
        <v>194</v>
      </c>
      <c r="K223" s="18">
        <v>1750.5</v>
      </c>
      <c r="L223" s="19">
        <f t="shared" si="2"/>
        <v>448237.22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193671.94</v>
      </c>
      <c r="G225" s="18">
        <v>82363.37</v>
      </c>
      <c r="H225" s="18">
        <f>75258.06+18488.34</f>
        <v>93746.4</v>
      </c>
      <c r="I225" s="18">
        <v>142669.92000000001</v>
      </c>
      <c r="J225" s="18">
        <v>89</v>
      </c>
      <c r="K225" s="18"/>
      <c r="L225" s="19">
        <f t="shared" si="2"/>
        <v>512540.63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304815.73+7419.11</f>
        <v>312234.83999999997</v>
      </c>
      <c r="I226" s="18">
        <v>48721.89</v>
      </c>
      <c r="J226" s="18"/>
      <c r="K226" s="18"/>
      <c r="L226" s="19">
        <f t="shared" si="2"/>
        <v>360956.73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3260235.3699999996</v>
      </c>
      <c r="G229" s="41">
        <f>SUM(G215:G228)</f>
        <v>1385857.38</v>
      </c>
      <c r="H229" s="41">
        <f>SUM(H215:H228)</f>
        <v>1124343.3199999998</v>
      </c>
      <c r="I229" s="41">
        <f>SUM(I215:I228)</f>
        <v>264114.01</v>
      </c>
      <c r="J229" s="41">
        <f>SUM(J215:J228)</f>
        <v>45434.21</v>
      </c>
      <c r="K229" s="41">
        <f t="shared" si="3"/>
        <v>4528.67</v>
      </c>
      <c r="L229" s="41">
        <f t="shared" si="3"/>
        <v>6084512.959999999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3239315.49+67.5</f>
        <v>3239382.99</v>
      </c>
      <c r="G233" s="18">
        <v>1403778.51</v>
      </c>
      <c r="H233" s="18">
        <v>6142.82</v>
      </c>
      <c r="I233" s="18">
        <v>147418.26</v>
      </c>
      <c r="J233" s="18">
        <v>23270.54</v>
      </c>
      <c r="K233" s="18">
        <v>521</v>
      </c>
      <c r="L233" s="19">
        <f>SUM(F233:K233)</f>
        <v>4820514.12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1034211.44</v>
      </c>
      <c r="G234" s="18">
        <v>448788.93</v>
      </c>
      <c r="H234" s="18">
        <f>949862.63+5533.61</f>
        <v>955396.24</v>
      </c>
      <c r="I234" s="18">
        <v>6393.13</v>
      </c>
      <c r="J234" s="18">
        <v>900</v>
      </c>
      <c r="K234" s="18">
        <v>125</v>
      </c>
      <c r="L234" s="19">
        <f>SUM(F234:K234)</f>
        <v>2445814.7399999998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26258</v>
      </c>
      <c r="G235" s="18">
        <v>11378.85</v>
      </c>
      <c r="H235" s="18">
        <v>46116.97</v>
      </c>
      <c r="I235" s="18">
        <v>88.31</v>
      </c>
      <c r="J235" s="18">
        <v>0</v>
      </c>
      <c r="K235" s="18">
        <v>0</v>
      </c>
      <c r="L235" s="19">
        <f>SUM(F235:K235)</f>
        <v>83842.13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246665.63</v>
      </c>
      <c r="G236" s="18">
        <v>106892.04</v>
      </c>
      <c r="H236" s="18">
        <f>120520.97-65101</f>
        <v>55419.97</v>
      </c>
      <c r="I236" s="18">
        <v>15719.84</v>
      </c>
      <c r="J236" s="18">
        <v>10853.8</v>
      </c>
      <c r="K236" s="18">
        <v>6055</v>
      </c>
      <c r="L236" s="19">
        <f>SUM(F236:K236)</f>
        <v>441606.28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570770.1+23857.59</f>
        <v>594627.68999999994</v>
      </c>
      <c r="G238" s="18">
        <v>257680.67</v>
      </c>
      <c r="H238" s="18">
        <f>107952.68+47870.13</f>
        <v>155822.81</v>
      </c>
      <c r="I238" s="18">
        <v>7486.11</v>
      </c>
      <c r="J238" s="18"/>
      <c r="K238" s="18">
        <v>880</v>
      </c>
      <c r="L238" s="19">
        <f t="shared" ref="L238:L244" si="4">SUM(F238:K238)</f>
        <v>1016497.2799999999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160424</v>
      </c>
      <c r="G239" s="18">
        <v>46118.62</v>
      </c>
      <c r="H239" s="18">
        <v>6982.39</v>
      </c>
      <c r="I239" s="18">
        <f>21779.09+8730.14</f>
        <v>30509.23</v>
      </c>
      <c r="J239" s="18">
        <v>24465.09</v>
      </c>
      <c r="K239" s="18">
        <v>98</v>
      </c>
      <c r="L239" s="19">
        <f t="shared" si="4"/>
        <v>268597.33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509116</v>
      </c>
      <c r="I240" s="18">
        <v>5244.52</v>
      </c>
      <c r="J240" s="18"/>
      <c r="K240" s="18">
        <v>3045.95</v>
      </c>
      <c r="L240" s="19">
        <f t="shared" si="4"/>
        <v>517406.47000000003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407032</v>
      </c>
      <c r="G241" s="18">
        <v>176386.47</v>
      </c>
      <c r="H241" s="18">
        <v>55871.62</v>
      </c>
      <c r="I241" s="18">
        <f>26147.21+3104.54</f>
        <v>29251.75</v>
      </c>
      <c r="J241" s="18"/>
      <c r="K241" s="18">
        <v>13927.34</v>
      </c>
      <c r="L241" s="19">
        <f t="shared" si="4"/>
        <v>682469.17999999993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244290.61</v>
      </c>
      <c r="G243" s="18">
        <v>105862.83</v>
      </c>
      <c r="H243" s="18">
        <f>160185.65+35957+15328.44</f>
        <v>211471.09</v>
      </c>
      <c r="I243" s="18">
        <v>226936.88</v>
      </c>
      <c r="J243" s="18">
        <v>1176.95</v>
      </c>
      <c r="K243" s="18"/>
      <c r="L243" s="19">
        <f t="shared" si="4"/>
        <v>789738.36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294">
        <v>555227.24</v>
      </c>
      <c r="I244" s="294">
        <v>53361.94</v>
      </c>
      <c r="J244" s="18"/>
      <c r="K244" s="18"/>
      <c r="L244" s="19">
        <f t="shared" si="4"/>
        <v>608589.17999999993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5952892.3600000003</v>
      </c>
      <c r="G247" s="41">
        <f t="shared" si="5"/>
        <v>2556886.9200000004</v>
      </c>
      <c r="H247" s="41">
        <f t="shared" si="5"/>
        <v>2557567.1500000004</v>
      </c>
      <c r="I247" s="41">
        <f t="shared" si="5"/>
        <v>522409.97000000003</v>
      </c>
      <c r="J247" s="41">
        <f t="shared" si="5"/>
        <v>60666.37999999999</v>
      </c>
      <c r="K247" s="41">
        <f t="shared" si="5"/>
        <v>24652.29</v>
      </c>
      <c r="L247" s="41">
        <f t="shared" si="5"/>
        <v>11675075.069999998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31000</v>
      </c>
      <c r="K255" s="18"/>
      <c r="L255" s="19">
        <f t="shared" si="6"/>
        <v>31000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31000</v>
      </c>
      <c r="K256" s="41">
        <f t="shared" si="7"/>
        <v>0</v>
      </c>
      <c r="L256" s="41">
        <f>SUM(F256:K256)</f>
        <v>31000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9213127.7300000004</v>
      </c>
      <c r="G257" s="41">
        <f t="shared" si="8"/>
        <v>3942744.3000000003</v>
      </c>
      <c r="H257" s="41">
        <f t="shared" si="8"/>
        <v>3681910.47</v>
      </c>
      <c r="I257" s="41">
        <f t="shared" si="8"/>
        <v>786523.98</v>
      </c>
      <c r="J257" s="41">
        <f t="shared" si="8"/>
        <v>137100.59</v>
      </c>
      <c r="K257" s="41">
        <f t="shared" si="8"/>
        <v>29180.959999999999</v>
      </c>
      <c r="L257" s="41">
        <f t="shared" si="8"/>
        <v>17790588.029999997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943142.87</v>
      </c>
      <c r="L260" s="19">
        <f>SUM(F260:K260)</f>
        <v>943142.87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870908.63</v>
      </c>
      <c r="L261" s="19">
        <f>SUM(F261:K261)</f>
        <v>870908.63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55000</v>
      </c>
      <c r="L266" s="19">
        <f t="shared" si="9"/>
        <v>55000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1869051.5</v>
      </c>
      <c r="L270" s="41">
        <f t="shared" si="9"/>
        <v>1869051.5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9213127.7300000004</v>
      </c>
      <c r="G271" s="42">
        <f t="shared" si="11"/>
        <v>3942744.3000000003</v>
      </c>
      <c r="H271" s="42">
        <f t="shared" si="11"/>
        <v>3681910.47</v>
      </c>
      <c r="I271" s="42">
        <f t="shared" si="11"/>
        <v>786523.98</v>
      </c>
      <c r="J271" s="42">
        <f t="shared" si="11"/>
        <v>137100.59</v>
      </c>
      <c r="K271" s="42">
        <f t="shared" si="11"/>
        <v>1898232.46</v>
      </c>
      <c r="L271" s="42">
        <f t="shared" si="11"/>
        <v>19659639.529999997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258.17</v>
      </c>
      <c r="G295" s="18"/>
      <c r="H295" s="18">
        <v>34415.040000000001</v>
      </c>
      <c r="I295" s="18">
        <v>1432.94</v>
      </c>
      <c r="J295" s="18"/>
      <c r="K295" s="18"/>
      <c r="L295" s="19">
        <f>SUM(F295:K295)</f>
        <v>36106.15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69939.42</v>
      </c>
      <c r="G296" s="18">
        <v>3866.16</v>
      </c>
      <c r="H296" s="18"/>
      <c r="I296" s="18"/>
      <c r="J296" s="18"/>
      <c r="K296" s="18"/>
      <c r="L296" s="19">
        <f>SUM(F296:K296)</f>
        <v>73805.58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4357.38</v>
      </c>
      <c r="I301" s="18">
        <v>40.56</v>
      </c>
      <c r="J301" s="18"/>
      <c r="K301" s="18"/>
      <c r="L301" s="19">
        <f t="shared" si="14"/>
        <v>4397.9400000000005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70197.59</v>
      </c>
      <c r="G309" s="42">
        <f t="shared" si="15"/>
        <v>3866.16</v>
      </c>
      <c r="H309" s="42">
        <f t="shared" si="15"/>
        <v>38772.42</v>
      </c>
      <c r="I309" s="42">
        <f t="shared" si="15"/>
        <v>1473.5</v>
      </c>
      <c r="J309" s="42">
        <f t="shared" si="15"/>
        <v>0</v>
      </c>
      <c r="K309" s="42">
        <f t="shared" si="15"/>
        <v>0</v>
      </c>
      <c r="L309" s="41">
        <f t="shared" si="15"/>
        <v>114309.67000000001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495.38</v>
      </c>
      <c r="G314" s="18"/>
      <c r="H314" s="18">
        <v>66036.210000000006</v>
      </c>
      <c r="I314" s="18">
        <v>2749.56</v>
      </c>
      <c r="J314" s="18"/>
      <c r="K314" s="18"/>
      <c r="L314" s="19">
        <f>SUM(F314:K314)</f>
        <v>69281.150000000009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134201.04</v>
      </c>
      <c r="G315" s="18">
        <v>7418.47</v>
      </c>
      <c r="H315" s="18"/>
      <c r="I315" s="18"/>
      <c r="J315" s="18"/>
      <c r="K315" s="18"/>
      <c r="L315" s="19">
        <f>SUM(F315:K315)</f>
        <v>141619.51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8361.02</v>
      </c>
      <c r="I320" s="18">
        <v>77.819999999999993</v>
      </c>
      <c r="J320" s="18"/>
      <c r="K320" s="18"/>
      <c r="L320" s="19">
        <f t="shared" si="16"/>
        <v>8438.84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134696.42000000001</v>
      </c>
      <c r="G328" s="42">
        <f t="shared" si="17"/>
        <v>7418.47</v>
      </c>
      <c r="H328" s="42">
        <f t="shared" si="17"/>
        <v>74397.23000000001</v>
      </c>
      <c r="I328" s="42">
        <f t="shared" si="17"/>
        <v>2827.38</v>
      </c>
      <c r="J328" s="42">
        <f t="shared" si="17"/>
        <v>0</v>
      </c>
      <c r="K328" s="42">
        <f t="shared" si="17"/>
        <v>0</v>
      </c>
      <c r="L328" s="41">
        <f t="shared" si="17"/>
        <v>219339.50000000003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204894.01</v>
      </c>
      <c r="G338" s="41">
        <f t="shared" si="20"/>
        <v>11284.630000000001</v>
      </c>
      <c r="H338" s="41">
        <f t="shared" si="20"/>
        <v>113169.65000000001</v>
      </c>
      <c r="I338" s="41">
        <f t="shared" si="20"/>
        <v>4300.88</v>
      </c>
      <c r="J338" s="41">
        <f t="shared" si="20"/>
        <v>0</v>
      </c>
      <c r="K338" s="41">
        <f t="shared" si="20"/>
        <v>0</v>
      </c>
      <c r="L338" s="41">
        <f t="shared" si="20"/>
        <v>333649.17000000004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204894.01</v>
      </c>
      <c r="G352" s="41">
        <f>G338</f>
        <v>11284.630000000001</v>
      </c>
      <c r="H352" s="41">
        <f>H338</f>
        <v>113169.65000000001</v>
      </c>
      <c r="I352" s="41">
        <f>I338</f>
        <v>4300.88</v>
      </c>
      <c r="J352" s="41">
        <f>J338</f>
        <v>0</v>
      </c>
      <c r="K352" s="47">
        <f>K338+K351</f>
        <v>0</v>
      </c>
      <c r="L352" s="41">
        <f>L338+L351</f>
        <v>333649.17000000004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64311.38</v>
      </c>
      <c r="G359" s="18">
        <v>17458.62</v>
      </c>
      <c r="H359" s="18">
        <v>1691.67</v>
      </c>
      <c r="I359" s="18">
        <f>67892.36+6486.06</f>
        <v>74378.42</v>
      </c>
      <c r="J359" s="18">
        <v>13020.57</v>
      </c>
      <c r="K359" s="18"/>
      <c r="L359" s="19">
        <f>SUM(F359:K359)</f>
        <v>170860.66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108386.16</v>
      </c>
      <c r="G360" s="18">
        <v>29423.62</v>
      </c>
      <c r="H360" s="18">
        <v>5067.21</v>
      </c>
      <c r="I360" s="18">
        <f>182363.08+6486.09</f>
        <v>188849.16999999998</v>
      </c>
      <c r="J360" s="18">
        <v>5970.63</v>
      </c>
      <c r="K360" s="18"/>
      <c r="L360" s="19">
        <f>SUM(F360:K360)</f>
        <v>337696.79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172697.54</v>
      </c>
      <c r="G362" s="47">
        <f t="shared" si="22"/>
        <v>46882.239999999998</v>
      </c>
      <c r="H362" s="47">
        <f t="shared" si="22"/>
        <v>6758.88</v>
      </c>
      <c r="I362" s="47">
        <f t="shared" si="22"/>
        <v>263227.58999999997</v>
      </c>
      <c r="J362" s="47">
        <f t="shared" si="22"/>
        <v>18991.2</v>
      </c>
      <c r="K362" s="47">
        <f t="shared" si="22"/>
        <v>0</v>
      </c>
      <c r="L362" s="47">
        <f t="shared" si="22"/>
        <v>508557.44999999995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v>64194.64</v>
      </c>
      <c r="H367" s="18">
        <v>165204.29</v>
      </c>
      <c r="I367" s="56">
        <f>SUM(F367:H367)</f>
        <v>229398.93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f>I359-G367</f>
        <v>10183.779999999999</v>
      </c>
      <c r="H368" s="63">
        <f>I360-H367</f>
        <v>23644.879999999976</v>
      </c>
      <c r="I368" s="56">
        <f>SUM(F368:H368)</f>
        <v>33828.659999999974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74378.42</v>
      </c>
      <c r="H369" s="47">
        <f>SUM(H367:H368)</f>
        <v>188849.16999999998</v>
      </c>
      <c r="I369" s="47">
        <f>SUM(I367:I368)</f>
        <v>263227.58999999997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55000</v>
      </c>
      <c r="H400" s="18">
        <v>16.71</v>
      </c>
      <c r="I400" s="18"/>
      <c r="J400" s="24" t="s">
        <v>289</v>
      </c>
      <c r="K400" s="24" t="s">
        <v>289</v>
      </c>
      <c r="L400" s="56">
        <f t="shared" si="26"/>
        <v>55016.71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55000</v>
      </c>
      <c r="H401" s="47">
        <f>SUM(H395:H400)</f>
        <v>16.71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55016.71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55000</v>
      </c>
      <c r="H408" s="47">
        <f>H393+H401+H407</f>
        <v>16.71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55016.71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f>16951.5+29460</f>
        <v>46411.5</v>
      </c>
      <c r="G426" s="18"/>
      <c r="H426" s="18"/>
      <c r="I426" s="18">
        <f>270+4623.35+1846.26+1482.15+4099.84</f>
        <v>12321.6</v>
      </c>
      <c r="J426" s="18">
        <v>7575</v>
      </c>
      <c r="K426" s="18">
        <v>14690.1</v>
      </c>
      <c r="L426" s="56">
        <f t="shared" si="29"/>
        <v>80998.200000000012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46411.5</v>
      </c>
      <c r="G427" s="47">
        <f t="shared" si="30"/>
        <v>0</v>
      </c>
      <c r="H427" s="47">
        <f t="shared" si="30"/>
        <v>0</v>
      </c>
      <c r="I427" s="47">
        <f t="shared" si="30"/>
        <v>12321.6</v>
      </c>
      <c r="J427" s="47">
        <f t="shared" si="30"/>
        <v>7575</v>
      </c>
      <c r="K427" s="47">
        <f t="shared" si="30"/>
        <v>14690.1</v>
      </c>
      <c r="L427" s="47">
        <f t="shared" si="30"/>
        <v>80998.200000000012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46411.5</v>
      </c>
      <c r="G434" s="47">
        <f t="shared" si="32"/>
        <v>0</v>
      </c>
      <c r="H434" s="47">
        <f t="shared" si="32"/>
        <v>0</v>
      </c>
      <c r="I434" s="47">
        <f t="shared" si="32"/>
        <v>12321.6</v>
      </c>
      <c r="J434" s="47">
        <f t="shared" si="32"/>
        <v>7575</v>
      </c>
      <c r="K434" s="47">
        <f t="shared" si="32"/>
        <v>14690.1</v>
      </c>
      <c r="L434" s="47">
        <f t="shared" si="32"/>
        <v>80998.200000000012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86949.11</v>
      </c>
      <c r="H442" s="18"/>
      <c r="I442" s="56">
        <f t="shared" si="33"/>
        <v>86949.11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86949.11</v>
      </c>
      <c r="H446" s="13">
        <f>SUM(H439:H445)</f>
        <v>0</v>
      </c>
      <c r="I446" s="13">
        <f>SUM(I439:I445)</f>
        <v>86949.11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74557</v>
      </c>
      <c r="H448" s="18"/>
      <c r="I448" s="56">
        <f>SUM(F448:H448)</f>
        <v>74557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7373.6</v>
      </c>
      <c r="H449" s="18"/>
      <c r="I449" s="56">
        <f>SUM(F449:H449)</f>
        <v>7373.6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81930.600000000006</v>
      </c>
      <c r="H452" s="72">
        <f>SUM(H448:H451)</f>
        <v>0</v>
      </c>
      <c r="I452" s="72">
        <f>SUM(I448:I451)</f>
        <v>81930.600000000006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5018.51</f>
        <v>5018.51</v>
      </c>
      <c r="H459" s="18"/>
      <c r="I459" s="56">
        <f t="shared" si="34"/>
        <v>5018.51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5018.51</v>
      </c>
      <c r="H460" s="83">
        <f>SUM(H454:H459)</f>
        <v>0</v>
      </c>
      <c r="I460" s="83">
        <f>SUM(I454:I459)</f>
        <v>5018.51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0</v>
      </c>
      <c r="G461" s="42">
        <f>G452+G460</f>
        <v>86949.11</v>
      </c>
      <c r="H461" s="42">
        <f>H452+H460</f>
        <v>0</v>
      </c>
      <c r="I461" s="42">
        <f>I452+I460</f>
        <v>86949.11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891</v>
      </c>
      <c r="B465" s="105">
        <v>19</v>
      </c>
      <c r="C465" s="111">
        <v>1</v>
      </c>
      <c r="D465" s="2" t="s">
        <v>433</v>
      </c>
      <c r="E465" s="111"/>
      <c r="F465" s="18">
        <f>227370+66993.97+5000</f>
        <v>299363.96999999997</v>
      </c>
      <c r="G465" s="18">
        <f>162883.23+9650.1</f>
        <v>172533.33000000002</v>
      </c>
      <c r="H465" s="18">
        <v>0</v>
      </c>
      <c r="I465" s="18"/>
      <c r="J465" s="18">
        <v>31000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19761125.989999998</v>
      </c>
      <c r="G468" s="18">
        <f>G112+G136+G147+G162</f>
        <v>444560.27999999997</v>
      </c>
      <c r="H468" s="18">
        <f>H169</f>
        <v>333649.17000000004</v>
      </c>
      <c r="I468" s="18"/>
      <c r="J468" s="18">
        <v>55016.71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19761125.989999998</v>
      </c>
      <c r="G470" s="53">
        <f>SUM(G468:G469)</f>
        <v>444560.27999999997</v>
      </c>
      <c r="H470" s="53">
        <f>SUM(H468:H469)</f>
        <v>333649.17000000004</v>
      </c>
      <c r="I470" s="53">
        <f>SUM(I468:I469)</f>
        <v>0</v>
      </c>
      <c r="J470" s="53">
        <f>SUM(J468:J469)</f>
        <v>55016.71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19659639.530000001</v>
      </c>
      <c r="G472" s="18">
        <v>508557.45</v>
      </c>
      <c r="H472" s="18">
        <f>L338</f>
        <v>333649.17000000004</v>
      </c>
      <c r="I472" s="18"/>
      <c r="J472" s="18">
        <v>80998.2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19659639.530000001</v>
      </c>
      <c r="G474" s="53">
        <f>SUM(G472:G473)</f>
        <v>508557.45</v>
      </c>
      <c r="H474" s="53">
        <f>SUM(H472:H473)</f>
        <v>333649.17000000004</v>
      </c>
      <c r="I474" s="53">
        <f>SUM(I472:I473)</f>
        <v>0</v>
      </c>
      <c r="J474" s="53">
        <f>SUM(J472:J473)</f>
        <v>80998.2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400850.42999999598</v>
      </c>
      <c r="G476" s="53">
        <f>(G465+G470)- G474</f>
        <v>108536.15999999997</v>
      </c>
      <c r="H476" s="53">
        <f>(H465+H470)- H474</f>
        <v>0</v>
      </c>
      <c r="I476" s="53">
        <f>(I465+I470)- I474</f>
        <v>0</v>
      </c>
      <c r="J476" s="53">
        <f>(J465+J470)- J474</f>
        <v>5018.5099999999948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3">
        <v>20</v>
      </c>
      <c r="G490" s="277">
        <v>15</v>
      </c>
      <c r="H490" s="281">
        <v>20</v>
      </c>
      <c r="I490" s="286">
        <v>20</v>
      </c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4" t="s">
        <v>911</v>
      </c>
      <c r="G491" s="278" t="s">
        <v>917</v>
      </c>
      <c r="H491" s="285" t="s">
        <v>912</v>
      </c>
      <c r="I491" s="289" t="s">
        <v>918</v>
      </c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4" t="s">
        <v>913</v>
      </c>
      <c r="G492" s="278" t="s">
        <v>914</v>
      </c>
      <c r="H492" s="282" t="s">
        <v>915</v>
      </c>
      <c r="I492" s="289" t="s">
        <v>919</v>
      </c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5">
        <v>7703400</v>
      </c>
      <c r="G493" s="279">
        <v>3200000</v>
      </c>
      <c r="H493" s="283">
        <v>8100000</v>
      </c>
      <c r="I493" s="287">
        <v>2700000</v>
      </c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5">
        <v>4.54</v>
      </c>
      <c r="G494" s="279">
        <v>5.2</v>
      </c>
      <c r="H494" s="283">
        <v>5.71</v>
      </c>
      <c r="I494" s="287">
        <v>5.71</v>
      </c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75">
        <v>5495000</v>
      </c>
      <c r="G495" s="279">
        <v>448369</v>
      </c>
      <c r="H495" s="283">
        <v>944941</v>
      </c>
      <c r="I495" s="287">
        <v>810000</v>
      </c>
      <c r="J495" s="18"/>
      <c r="K495" s="53">
        <f>SUM(F495:J495)</f>
        <v>7698310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275">
        <v>0</v>
      </c>
      <c r="G496" s="279">
        <v>0</v>
      </c>
      <c r="H496" s="283">
        <v>0</v>
      </c>
      <c r="I496" s="287">
        <v>0</v>
      </c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275">
        <v>345000</v>
      </c>
      <c r="G497" s="279">
        <v>157065.01999999999</v>
      </c>
      <c r="H497" s="283">
        <v>256077.85</v>
      </c>
      <c r="I497" s="287">
        <v>185000</v>
      </c>
      <c r="J497" s="18"/>
      <c r="K497" s="53">
        <f t="shared" si="35"/>
        <v>943142.87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76">
        <v>5150000</v>
      </c>
      <c r="G498" s="280">
        <v>291304</v>
      </c>
      <c r="H498" s="284">
        <v>688863</v>
      </c>
      <c r="I498" s="288">
        <v>625000</v>
      </c>
      <c r="J498" s="203"/>
      <c r="K498" s="204">
        <f t="shared" si="35"/>
        <v>6755167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275">
        <v>1475178</v>
      </c>
      <c r="G499" s="279">
        <v>319630</v>
      </c>
      <c r="H499" s="283">
        <v>1351881</v>
      </c>
      <c r="I499" s="287">
        <v>42999</v>
      </c>
      <c r="J499" s="18"/>
      <c r="K499" s="53">
        <f t="shared" si="35"/>
        <v>3189688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6625178</v>
      </c>
      <c r="G500" s="42">
        <f>SUM(G498:G499)</f>
        <v>610934</v>
      </c>
      <c r="H500" s="42">
        <f>SUM(H498:H499)</f>
        <v>2040744</v>
      </c>
      <c r="I500" s="42">
        <f>SUM(I498:I499)</f>
        <v>667999</v>
      </c>
      <c r="J500" s="42">
        <f>SUM(J498:J499)</f>
        <v>0</v>
      </c>
      <c r="K500" s="42">
        <f t="shared" si="35"/>
        <v>9944855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91">
        <v>360000</v>
      </c>
      <c r="G501" s="293">
        <v>150570</v>
      </c>
      <c r="H501" s="293">
        <v>242829</v>
      </c>
      <c r="I501" s="293">
        <v>195000</v>
      </c>
      <c r="J501" s="203"/>
      <c r="K501" s="204">
        <f t="shared" si="35"/>
        <v>948399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290">
        <v>238784</v>
      </c>
      <c r="G502" s="292">
        <v>157546</v>
      </c>
      <c r="H502" s="292">
        <v>438021</v>
      </c>
      <c r="I502" s="292">
        <v>30331</v>
      </c>
      <c r="J502" s="18"/>
      <c r="K502" s="53">
        <f t="shared" si="35"/>
        <v>864682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598784</v>
      </c>
      <c r="G503" s="42">
        <f>SUM(G501:G502)</f>
        <v>308116</v>
      </c>
      <c r="H503" s="42">
        <f>SUM(H501:H502)</f>
        <v>680850</v>
      </c>
      <c r="I503" s="42">
        <f>SUM(I501:I502)</f>
        <v>225331</v>
      </c>
      <c r="J503" s="42">
        <f>SUM(J501:J502)</f>
        <v>0</v>
      </c>
      <c r="K503" s="42">
        <f t="shared" si="35"/>
        <v>1813081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553804.75+66284.79-43987.88</f>
        <v>576101.66</v>
      </c>
      <c r="G522" s="18">
        <f>3403.42+102108.82</f>
        <v>105512.24</v>
      </c>
      <c r="H522" s="18">
        <v>231933.39</v>
      </c>
      <c r="I522" s="18">
        <v>1324.36</v>
      </c>
      <c r="J522" s="18">
        <v>1804.46</v>
      </c>
      <c r="K522" s="18"/>
      <c r="L522" s="88">
        <f>SUM(F522:K522)</f>
        <v>916676.11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1029784.21+137855.67-69992.72</f>
        <v>1097647.1599999999</v>
      </c>
      <c r="G523" s="18">
        <f>6408.71+212636.29</f>
        <v>219045</v>
      </c>
      <c r="H523" s="18">
        <v>949862.63</v>
      </c>
      <c r="I523" s="18">
        <v>6393.13</v>
      </c>
      <c r="J523" s="18">
        <v>900</v>
      </c>
      <c r="K523" s="18"/>
      <c r="L523" s="88">
        <f>SUM(F523:K523)</f>
        <v>2273847.92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1673748.8199999998</v>
      </c>
      <c r="G524" s="108">
        <f t="shared" ref="G524:L524" si="36">SUM(G521:G523)</f>
        <v>324557.24</v>
      </c>
      <c r="H524" s="108">
        <f t="shared" si="36"/>
        <v>1181796.02</v>
      </c>
      <c r="I524" s="108">
        <f t="shared" si="36"/>
        <v>7717.49</v>
      </c>
      <c r="J524" s="108">
        <f t="shared" si="36"/>
        <v>2704.46</v>
      </c>
      <c r="K524" s="108">
        <f t="shared" si="36"/>
        <v>0</v>
      </c>
      <c r="L524" s="89">
        <f t="shared" si="36"/>
        <v>3190524.03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91146.28+14604.8</f>
        <v>105751.08</v>
      </c>
      <c r="G527" s="18">
        <f>580.43+18743.43</f>
        <v>19323.86</v>
      </c>
      <c r="H527" s="18">
        <f>97640.7+49440.3</f>
        <v>147081</v>
      </c>
      <c r="I527" s="18">
        <v>840.56</v>
      </c>
      <c r="J527" s="18"/>
      <c r="K527" s="18"/>
      <c r="L527" s="88">
        <f>SUM(F527:K527)</f>
        <v>272996.5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132156.7+30374.82</f>
        <v>162531.52000000002</v>
      </c>
      <c r="G528" s="18">
        <f>892.07+31485.52</f>
        <v>32377.59</v>
      </c>
      <c r="H528" s="18">
        <f>17888.12</f>
        <v>17888.12</v>
      </c>
      <c r="I528" s="18">
        <v>859.83</v>
      </c>
      <c r="J528" s="18"/>
      <c r="K528" s="18"/>
      <c r="L528" s="88">
        <f>SUM(F528:K528)</f>
        <v>213657.06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268282.60000000003</v>
      </c>
      <c r="G529" s="89">
        <f t="shared" ref="G529:L529" si="37">SUM(G526:G528)</f>
        <v>51701.45</v>
      </c>
      <c r="H529" s="89">
        <f t="shared" si="37"/>
        <v>164969.12</v>
      </c>
      <c r="I529" s="89">
        <f t="shared" si="37"/>
        <v>1700.3899999999999</v>
      </c>
      <c r="J529" s="89">
        <f t="shared" si="37"/>
        <v>0</v>
      </c>
      <c r="K529" s="89">
        <f t="shared" si="37"/>
        <v>0</v>
      </c>
      <c r="L529" s="89">
        <f t="shared" si="37"/>
        <v>486653.56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43987.88</v>
      </c>
      <c r="G532" s="18">
        <f>7796.31</f>
        <v>7796.31</v>
      </c>
      <c r="H532" s="18">
        <v>35358.410000000003</v>
      </c>
      <c r="I532" s="18"/>
      <c r="J532" s="18"/>
      <c r="K532" s="18">
        <v>125</v>
      </c>
      <c r="L532" s="88">
        <f>SUM(F532:K532)</f>
        <v>87267.6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69992.72</v>
      </c>
      <c r="G533" s="18">
        <v>13558.86</v>
      </c>
      <c r="H533" s="18">
        <v>73536.600000000006</v>
      </c>
      <c r="I533" s="18"/>
      <c r="J533" s="18"/>
      <c r="K533" s="18">
        <v>125</v>
      </c>
      <c r="L533" s="88">
        <f>SUM(F533:K533)</f>
        <v>157213.18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113980.6</v>
      </c>
      <c r="G534" s="89">
        <f t="shared" ref="G534:L534" si="38">SUM(G531:G533)</f>
        <v>21355.170000000002</v>
      </c>
      <c r="H534" s="89">
        <f t="shared" si="38"/>
        <v>108895.01000000001</v>
      </c>
      <c r="I534" s="89">
        <f t="shared" si="38"/>
        <v>0</v>
      </c>
      <c r="J534" s="89">
        <f t="shared" si="38"/>
        <v>0</v>
      </c>
      <c r="K534" s="89">
        <f t="shared" si="38"/>
        <v>250</v>
      </c>
      <c r="L534" s="89">
        <f t="shared" si="38"/>
        <v>244480.78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2720.63</v>
      </c>
      <c r="I537" s="18"/>
      <c r="J537" s="18"/>
      <c r="K537" s="18"/>
      <c r="L537" s="88">
        <f>SUM(F537:K537)</f>
        <v>2720.63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5658.24</v>
      </c>
      <c r="I538" s="18"/>
      <c r="J538" s="18"/>
      <c r="K538" s="18"/>
      <c r="L538" s="88">
        <f>SUM(F538:K538)</f>
        <v>5658.24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8378.869999999999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8378.869999999999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145525</v>
      </c>
      <c r="I542" s="18"/>
      <c r="J542" s="18"/>
      <c r="K542" s="18"/>
      <c r="L542" s="88">
        <f>SUM(F542:K542)</f>
        <v>145525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208062.56</v>
      </c>
      <c r="I543" s="18"/>
      <c r="J543" s="18"/>
      <c r="K543" s="18"/>
      <c r="L543" s="88">
        <f>SUM(F543:K543)</f>
        <v>208062.56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353587.56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353587.56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2056012.02</v>
      </c>
      <c r="G545" s="89">
        <f t="shared" ref="G545:L545" si="41">G524+G529+G534+G539+G544</f>
        <v>397613.86</v>
      </c>
      <c r="H545" s="89">
        <f t="shared" si="41"/>
        <v>1817626.5800000003</v>
      </c>
      <c r="I545" s="89">
        <f t="shared" si="41"/>
        <v>9417.8799999999992</v>
      </c>
      <c r="J545" s="89">
        <f t="shared" si="41"/>
        <v>2704.46</v>
      </c>
      <c r="K545" s="89">
        <f t="shared" si="41"/>
        <v>250</v>
      </c>
      <c r="L545" s="89">
        <f t="shared" si="41"/>
        <v>4283624.8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916676.11</v>
      </c>
      <c r="G550" s="87">
        <f>L527</f>
        <v>272996.5</v>
      </c>
      <c r="H550" s="87">
        <f>L532</f>
        <v>87267.6</v>
      </c>
      <c r="I550" s="87">
        <f>L537</f>
        <v>2720.63</v>
      </c>
      <c r="J550" s="87">
        <f>L542</f>
        <v>145525</v>
      </c>
      <c r="K550" s="87">
        <f>SUM(F550:J550)</f>
        <v>1425185.8399999999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2273847.92</v>
      </c>
      <c r="G551" s="87">
        <f>L528</f>
        <v>213657.06</v>
      </c>
      <c r="H551" s="87">
        <f>L533</f>
        <v>157213.18</v>
      </c>
      <c r="I551" s="87">
        <f>L538</f>
        <v>5658.24</v>
      </c>
      <c r="J551" s="87">
        <f>L543</f>
        <v>208062.56</v>
      </c>
      <c r="K551" s="87">
        <f>SUM(F551:J551)</f>
        <v>2858438.9600000004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3190524.03</v>
      </c>
      <c r="G552" s="89">
        <f t="shared" si="42"/>
        <v>486653.56</v>
      </c>
      <c r="H552" s="89">
        <f t="shared" si="42"/>
        <v>244480.78</v>
      </c>
      <c r="I552" s="89">
        <f t="shared" si="42"/>
        <v>8378.869999999999</v>
      </c>
      <c r="J552" s="89">
        <f t="shared" si="42"/>
        <v>353587.56</v>
      </c>
      <c r="K552" s="89">
        <f t="shared" si="42"/>
        <v>4283624.8000000007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134446.79999999999</v>
      </c>
      <c r="H582" s="18">
        <v>423048.3</v>
      </c>
      <c r="I582" s="87">
        <f t="shared" si="47"/>
        <v>557495.1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46116.97</v>
      </c>
      <c r="I584" s="87">
        <f t="shared" si="47"/>
        <v>46116.97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295">
        <v>206854.73472000001</v>
      </c>
      <c r="J591" s="295">
        <v>207233.05300000001</v>
      </c>
      <c r="K591" s="104">
        <f t="shared" ref="K591:K597" si="48">SUM(H591:J591)</f>
        <v>414087.78772000002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295">
        <v>145525.49916000001</v>
      </c>
      <c r="J592" s="295">
        <v>208062.55658</v>
      </c>
      <c r="K592" s="104">
        <f t="shared" si="48"/>
        <v>353588.05573999998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295"/>
      <c r="J593" s="295">
        <v>120250.25</v>
      </c>
      <c r="K593" s="104">
        <f t="shared" si="48"/>
        <v>120250.25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295">
        <v>8576.4911599999996</v>
      </c>
      <c r="J594" s="295">
        <v>73043.322</v>
      </c>
      <c r="K594" s="104">
        <f t="shared" si="48"/>
        <v>81619.813160000005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360956.72503999999</v>
      </c>
      <c r="J598" s="108">
        <f>SUM(J591:J597)</f>
        <v>608589.18158000009</v>
      </c>
      <c r="K598" s="108">
        <f>SUM(K591:K597)</f>
        <v>969545.90662000002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45434.21</v>
      </c>
      <c r="J604" s="18">
        <v>60666.38</v>
      </c>
      <c r="K604" s="104">
        <f>SUM(H604:J604)</f>
        <v>106100.59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45434.21</v>
      </c>
      <c r="J605" s="108">
        <f>SUM(J602:J604)</f>
        <v>60666.38</v>
      </c>
      <c r="K605" s="108">
        <f>SUM(K602:K604)</f>
        <v>106100.59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706478.15000000014</v>
      </c>
      <c r="H617" s="109">
        <f>SUM(F52)</f>
        <v>706478.14999999991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123977.02</v>
      </c>
      <c r="H618" s="109">
        <f>SUM(G52)</f>
        <v>123977.02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255763.5</v>
      </c>
      <c r="H619" s="109">
        <f>SUM(H52)</f>
        <v>255763.5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86949.11</v>
      </c>
      <c r="H621" s="109">
        <f>SUM(J52)</f>
        <v>86949.11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400850.43</v>
      </c>
      <c r="H622" s="109">
        <f>F476</f>
        <v>400850.42999999598</v>
      </c>
      <c r="I622" s="121" t="s">
        <v>101</v>
      </c>
      <c r="J622" s="109">
        <f t="shared" ref="J622:J655" si="50">G622-H622</f>
        <v>4.0163286030292511E-9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108536.16</v>
      </c>
      <c r="H623" s="109">
        <f>G476</f>
        <v>108536.15999999997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5018.51</v>
      </c>
      <c r="H626" s="109">
        <f>J476</f>
        <v>5018.5099999999948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19761125.989999998</v>
      </c>
      <c r="H627" s="104">
        <f>SUM(F468)</f>
        <v>19761125.989999998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444560.27999999997</v>
      </c>
      <c r="H628" s="104">
        <f>SUM(G468)</f>
        <v>444560.27999999997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333649.17000000004</v>
      </c>
      <c r="H629" s="104">
        <f>SUM(H468)</f>
        <v>333649.17000000004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55016.71</v>
      </c>
      <c r="H631" s="104">
        <f>SUM(J468)</f>
        <v>55016.71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19659639.529999997</v>
      </c>
      <c r="H632" s="104">
        <f>SUM(F472)</f>
        <v>19659639.530000001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333649.17000000004</v>
      </c>
      <c r="H633" s="104">
        <f>SUM(H472)</f>
        <v>333649.17000000004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263227.58999999997</v>
      </c>
      <c r="H634" s="104">
        <f>I369</f>
        <v>263227.58999999997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508557.44999999995</v>
      </c>
      <c r="H635" s="104">
        <f>SUM(G472)</f>
        <v>508557.45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1">
        <f>SUM(L408)</f>
        <v>55016.71</v>
      </c>
      <c r="H637" s="163">
        <f>SUM(J468)</f>
        <v>55016.71</v>
      </c>
      <c r="I637" s="164" t="s">
        <v>110</v>
      </c>
      <c r="J637" s="151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1">
        <f>SUM(L434)</f>
        <v>80998.200000000012</v>
      </c>
      <c r="H638" s="163">
        <f>SUM(J472)</f>
        <v>80998.2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86949.11</v>
      </c>
      <c r="H640" s="104">
        <f>SUM(G461)</f>
        <v>86949.11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86949.11</v>
      </c>
      <c r="H642" s="104">
        <f>SUM(I461)</f>
        <v>86949.11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16.71</v>
      </c>
      <c r="H644" s="104">
        <f>H408</f>
        <v>16.71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55000</v>
      </c>
      <c r="H645" s="104">
        <f>G408</f>
        <v>55000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55016.71</v>
      </c>
      <c r="H646" s="104">
        <f>L408</f>
        <v>55016.71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969545.90662000002</v>
      </c>
      <c r="H647" s="104">
        <f>L208+L226+L244</f>
        <v>969545.90999999992</v>
      </c>
      <c r="I647" s="140" t="s">
        <v>397</v>
      </c>
      <c r="J647" s="109">
        <f t="shared" si="50"/>
        <v>-3.3799998927861452E-3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106100.59</v>
      </c>
      <c r="H648" s="104">
        <f>(J257+J338)-(J255+J336)</f>
        <v>106100.59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360956.73</v>
      </c>
      <c r="H650" s="104">
        <f>I598</f>
        <v>360956.72503999999</v>
      </c>
      <c r="I650" s="140" t="s">
        <v>390</v>
      </c>
      <c r="J650" s="109">
        <f t="shared" si="50"/>
        <v>4.9599999911151826E-3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608589.17999999993</v>
      </c>
      <c r="H651" s="104">
        <f>J598</f>
        <v>608589.18158000009</v>
      </c>
      <c r="I651" s="140" t="s">
        <v>391</v>
      </c>
      <c r="J651" s="109">
        <f t="shared" si="50"/>
        <v>-1.5800001565366983E-3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55000</v>
      </c>
      <c r="H655" s="104">
        <f>K266+K347</f>
        <v>55000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6369683.2899999991</v>
      </c>
      <c r="H660" s="19">
        <f>(L247+L328+L360)</f>
        <v>12232111.359999998</v>
      </c>
      <c r="I660" s="19">
        <f>SUM(F660:H660)</f>
        <v>18601794.649999999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130718.89081333014</v>
      </c>
      <c r="H661" s="19">
        <f>(L360/IF(SUM(L358:L360)=0,1,SUM(L358:L360))*(SUM(G97:G110)))</f>
        <v>258358.76918666984</v>
      </c>
      <c r="I661" s="19">
        <f>SUM(F661:H661)</f>
        <v>389077.66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360956.73</v>
      </c>
      <c r="H662" s="19">
        <f>(L244+L325)-(J244+J325)</f>
        <v>608589.17999999993</v>
      </c>
      <c r="I662" s="19">
        <f>SUM(F662:H662)</f>
        <v>969545.90999999992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0</v>
      </c>
      <c r="G663" s="198">
        <f>SUM(G575:G587)+SUM(I602:I604)+L612</f>
        <v>179881.00999999998</v>
      </c>
      <c r="H663" s="198">
        <f>SUM(H575:H587)+SUM(J602:J604)+L613</f>
        <v>529831.65</v>
      </c>
      <c r="I663" s="19">
        <f>SUM(F663:H663)</f>
        <v>709712.66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5698126.6591866687</v>
      </c>
      <c r="H664" s="19">
        <f>H660-SUM(H661:H663)</f>
        <v>10835331.760813328</v>
      </c>
      <c r="I664" s="19">
        <f>I660-SUM(I661:I663)</f>
        <v>16533458.419999998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/>
      <c r="G665" s="247">
        <v>381.7</v>
      </c>
      <c r="H665" s="247">
        <v>865.94</v>
      </c>
      <c r="I665" s="19">
        <f>SUM(F665:H665)</f>
        <v>1247.6400000000001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14928.29</v>
      </c>
      <c r="H667" s="19">
        <f>ROUND(H664/H665,2)</f>
        <v>12512.8</v>
      </c>
      <c r="I667" s="19">
        <f>ROUND(I664/I665,2)</f>
        <v>13251.79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-11.85</v>
      </c>
      <c r="I670" s="19">
        <f>SUM(F670:H670)</f>
        <v>-11.85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14928.29</v>
      </c>
      <c r="H672" s="19">
        <f>ROUND((H664+H669)/(H665+H670),2)</f>
        <v>12686.41</v>
      </c>
      <c r="I672" s="19">
        <f>ROUND((I664+I669)/(I665+I670),2)</f>
        <v>13378.86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619" sqref="J6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Hollis Brookline Cooperative</v>
      </c>
      <c r="C1" s="237" t="s">
        <v>839</v>
      </c>
    </row>
    <row r="2" spans="1:3" x14ac:dyDescent="0.2">
      <c r="A2" s="232"/>
      <c r="B2" s="231"/>
    </row>
    <row r="3" spans="1:3" x14ac:dyDescent="0.2">
      <c r="A3" s="299" t="s">
        <v>784</v>
      </c>
      <c r="B3" s="299"/>
      <c r="C3" s="299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98" t="s">
        <v>783</v>
      </c>
      <c r="C6" s="298"/>
    </row>
    <row r="7" spans="1:3" x14ac:dyDescent="0.2">
      <c r="A7" s="238" t="s">
        <v>786</v>
      </c>
      <c r="B7" s="296" t="s">
        <v>782</v>
      </c>
      <c r="C7" s="297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5066254.07</v>
      </c>
      <c r="C9" s="228">
        <f>'DOE25'!G197+'DOE25'!G215+'DOE25'!G233+'DOE25'!G276+'DOE25'!G295+'DOE25'!G314</f>
        <v>2180348.92</v>
      </c>
    </row>
    <row r="10" spans="1:3" x14ac:dyDescent="0.2">
      <c r="A10" t="s">
        <v>779</v>
      </c>
      <c r="B10" s="239">
        <f>B9-B12</f>
        <v>4964835.92</v>
      </c>
      <c r="C10" s="239">
        <f>(B10/$B13)*$C9</f>
        <v>2136701.8879393083</v>
      </c>
    </row>
    <row r="11" spans="1:3" x14ac:dyDescent="0.2">
      <c r="A11" t="s">
        <v>780</v>
      </c>
      <c r="B11" s="239"/>
      <c r="C11" s="239"/>
    </row>
    <row r="12" spans="1:3" x14ac:dyDescent="0.2">
      <c r="A12" t="s">
        <v>781</v>
      </c>
      <c r="B12" s="239">
        <v>101418.15</v>
      </c>
      <c r="C12" s="239">
        <f>(B12/$B13)*$C9</f>
        <v>43647.032060691337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5066254.07</v>
      </c>
      <c r="C13" s="230">
        <f>SUM(C10:C12)</f>
        <v>2180348.9199999995</v>
      </c>
    </row>
    <row r="14" spans="1:3" x14ac:dyDescent="0.2">
      <c r="B14" s="229"/>
      <c r="C14" s="229"/>
    </row>
    <row r="15" spans="1:3" x14ac:dyDescent="0.2">
      <c r="B15" s="298" t="s">
        <v>783</v>
      </c>
      <c r="C15" s="298"/>
    </row>
    <row r="16" spans="1:3" x14ac:dyDescent="0.2">
      <c r="A16" s="238" t="s">
        <v>787</v>
      </c>
      <c r="B16" s="296" t="s">
        <v>707</v>
      </c>
      <c r="C16" s="297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1796583.88</v>
      </c>
      <c r="C18" s="228">
        <f>'DOE25'!G198+'DOE25'!G216+'DOE25'!G234+'DOE25'!G277+'DOE25'!G296+'DOE25'!G315</f>
        <v>696870.25</v>
      </c>
    </row>
    <row r="19" spans="1:3" x14ac:dyDescent="0.2">
      <c r="A19" t="s">
        <v>779</v>
      </c>
      <c r="B19" s="239">
        <v>981067.88</v>
      </c>
      <c r="C19" s="239">
        <f>B19/B$22*C$18</f>
        <v>380542.77699662431</v>
      </c>
    </row>
    <row r="20" spans="1:3" x14ac:dyDescent="0.2">
      <c r="A20" t="s">
        <v>780</v>
      </c>
      <c r="B20" s="239">
        <v>685627.34</v>
      </c>
      <c r="C20" s="239">
        <f t="shared" ref="C20:C21" si="0">B20/B$22*C$18</f>
        <v>265945.44298852055</v>
      </c>
    </row>
    <row r="21" spans="1:3" x14ac:dyDescent="0.2">
      <c r="A21" t="s">
        <v>781</v>
      </c>
      <c r="B21" s="239">
        <f>B18-B19-B20</f>
        <v>129888.65999999992</v>
      </c>
      <c r="C21" s="239">
        <f t="shared" si="0"/>
        <v>50382.030014855161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1796583.88</v>
      </c>
      <c r="C22" s="230">
        <f>SUM(C19:C21)</f>
        <v>696870.25000000012</v>
      </c>
    </row>
    <row r="23" spans="1:3" x14ac:dyDescent="0.2">
      <c r="B23" s="229"/>
      <c r="C23" s="229"/>
    </row>
    <row r="24" spans="1:3" x14ac:dyDescent="0.2">
      <c r="B24" s="298" t="s">
        <v>783</v>
      </c>
      <c r="C24" s="298"/>
    </row>
    <row r="25" spans="1:3" x14ac:dyDescent="0.2">
      <c r="A25" s="238" t="s">
        <v>788</v>
      </c>
      <c r="B25" s="296" t="s">
        <v>708</v>
      </c>
      <c r="C25" s="297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26258</v>
      </c>
      <c r="C27" s="233">
        <f>'DOE25'!G199+'DOE25'!G217+'DOE25'!G235+'DOE25'!G278+'DOE25'!G297+'DOE25'!G316</f>
        <v>11378.85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>
        <v>26258</v>
      </c>
      <c r="C30" s="239">
        <v>11378.85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26258</v>
      </c>
      <c r="C31" s="230">
        <f>SUM(C28:C30)</f>
        <v>11378.85</v>
      </c>
    </row>
    <row r="33" spans="1:3" x14ac:dyDescent="0.2">
      <c r="B33" s="298" t="s">
        <v>783</v>
      </c>
      <c r="C33" s="298"/>
    </row>
    <row r="34" spans="1:3" x14ac:dyDescent="0.2">
      <c r="A34" s="238" t="s">
        <v>789</v>
      </c>
      <c r="B34" s="296" t="s">
        <v>709</v>
      </c>
      <c r="C34" s="297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296976.13</v>
      </c>
      <c r="C36" s="234">
        <f>'DOE25'!G200+'DOE25'!G218+'DOE25'!G236+'DOE25'!G279+'DOE25'!G298+'DOE25'!G317</f>
        <v>128287.72</v>
      </c>
    </row>
    <row r="37" spans="1:3" x14ac:dyDescent="0.2">
      <c r="A37" t="s">
        <v>779</v>
      </c>
      <c r="B37" s="239">
        <v>29596</v>
      </c>
      <c r="C37" s="239">
        <f>B37/B40*C36</f>
        <v>12784.877226058539</v>
      </c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f>B36-B37</f>
        <v>267380.13</v>
      </c>
      <c r="C39" s="239">
        <f>C36-C37</f>
        <v>115502.84277394146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296976.13</v>
      </c>
      <c r="C40" s="230">
        <f>SUM(C37:C39)</f>
        <v>128287.72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J619" sqref="J619"/>
      <selection pane="bottomLeft" activeCell="J619" sqref="J6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98" t="s">
        <v>790</v>
      </c>
      <c r="B1" s="303"/>
      <c r="C1" s="303"/>
      <c r="D1" s="303"/>
      <c r="E1" s="303"/>
      <c r="F1" s="303"/>
      <c r="G1" s="303"/>
      <c r="H1" s="303"/>
      <c r="I1" s="180"/>
    </row>
    <row r="2" spans="1:9" x14ac:dyDescent="0.2">
      <c r="A2" s="33" t="s">
        <v>717</v>
      </c>
      <c r="B2" s="264" t="str">
        <f>'DOE25'!A2</f>
        <v>Hollis Brookline Cooperative</v>
      </c>
      <c r="C2" s="180"/>
      <c r="D2" s="180" t="s">
        <v>792</v>
      </c>
      <c r="E2" s="180" t="s">
        <v>794</v>
      </c>
      <c r="F2" s="300" t="s">
        <v>821</v>
      </c>
      <c r="G2" s="301"/>
      <c r="H2" s="302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11698952.879999999</v>
      </c>
      <c r="D5" s="20">
        <f>SUM('DOE25'!L197:L200)+SUM('DOE25'!L215:L218)+SUM('DOE25'!L233:L236)-F5-G5</f>
        <v>11614435.159999998</v>
      </c>
      <c r="E5" s="242"/>
      <c r="F5" s="254">
        <f>SUM('DOE25'!J197:J200)+SUM('DOE25'!J215:J218)+SUM('DOE25'!J233:J236)</f>
        <v>76604.72</v>
      </c>
      <c r="G5" s="53">
        <f>SUM('DOE25'!K197:K200)+SUM('DOE25'!K215:K218)+SUM('DOE25'!K233:K236)</f>
        <v>7913</v>
      </c>
      <c r="H5" s="258"/>
    </row>
    <row r="6" spans="1:9" x14ac:dyDescent="0.2">
      <c r="A6" s="32">
        <v>2100</v>
      </c>
      <c r="B6" t="s">
        <v>801</v>
      </c>
      <c r="C6" s="244">
        <f t="shared" si="0"/>
        <v>1527487.25</v>
      </c>
      <c r="D6" s="20">
        <f>'DOE25'!L202+'DOE25'!L220+'DOE25'!L238-F6-G6</f>
        <v>1524047.67</v>
      </c>
      <c r="E6" s="242"/>
      <c r="F6" s="254">
        <f>'DOE25'!J202+'DOE25'!J220+'DOE25'!J238</f>
        <v>2559.58</v>
      </c>
      <c r="G6" s="53">
        <f>'DOE25'!K202+'DOE25'!K220+'DOE25'!K238</f>
        <v>880</v>
      </c>
      <c r="H6" s="258"/>
    </row>
    <row r="7" spans="1:9" x14ac:dyDescent="0.2">
      <c r="A7" s="32">
        <v>2200</v>
      </c>
      <c r="B7" t="s">
        <v>834</v>
      </c>
      <c r="C7" s="244">
        <f t="shared" si="0"/>
        <v>347170.47000000003</v>
      </c>
      <c r="D7" s="20">
        <f>'DOE25'!L203+'DOE25'!L221+'DOE25'!L239-F7-G7</f>
        <v>321596.13</v>
      </c>
      <c r="E7" s="242"/>
      <c r="F7" s="254">
        <f>'DOE25'!J203+'DOE25'!J221+'DOE25'!J239</f>
        <v>25476.34</v>
      </c>
      <c r="G7" s="53">
        <f>'DOE25'!K203+'DOE25'!K221+'DOE25'!K239</f>
        <v>98</v>
      </c>
      <c r="H7" s="258"/>
    </row>
    <row r="8" spans="1:9" x14ac:dyDescent="0.2">
      <c r="A8" s="32">
        <v>2300</v>
      </c>
      <c r="B8" t="s">
        <v>802</v>
      </c>
      <c r="C8" s="244">
        <f t="shared" si="0"/>
        <v>543438.07999999996</v>
      </c>
      <c r="D8" s="242"/>
      <c r="E8" s="20">
        <f>'DOE25'!L204+'DOE25'!L222+'DOE25'!L240-F8-G8-D9-D11</f>
        <v>538825.96</v>
      </c>
      <c r="F8" s="254">
        <f>'DOE25'!J204+'DOE25'!J222+'DOE25'!J240</f>
        <v>0</v>
      </c>
      <c r="G8" s="53">
        <f>'DOE25'!K204+'DOE25'!K222+'DOE25'!K240</f>
        <v>4612.12</v>
      </c>
      <c r="H8" s="258"/>
    </row>
    <row r="9" spans="1:9" x14ac:dyDescent="0.2">
      <c r="A9" s="32">
        <v>2310</v>
      </c>
      <c r="B9" t="s">
        <v>818</v>
      </c>
      <c r="C9" s="244">
        <f t="shared" si="0"/>
        <v>64446.130000000005</v>
      </c>
      <c r="D9" s="243">
        <f>783446.13-719000</f>
        <v>64446.130000000005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11800</v>
      </c>
      <c r="D10" s="242"/>
      <c r="E10" s="243">
        <v>11800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175561.92</v>
      </c>
      <c r="D11" s="243">
        <v>175561.92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1130706.3999999999</v>
      </c>
      <c r="D12" s="20">
        <f>'DOE25'!L205+'DOE25'!L223+'DOE25'!L241-F12-G12</f>
        <v>1114834.5599999998</v>
      </c>
      <c r="E12" s="242"/>
      <c r="F12" s="254">
        <f>'DOE25'!J205+'DOE25'!J223+'DOE25'!J241</f>
        <v>194</v>
      </c>
      <c r="G12" s="53">
        <f>'DOE25'!K205+'DOE25'!K223+'DOE25'!K241</f>
        <v>15677.84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1302278.99</v>
      </c>
      <c r="D14" s="20">
        <f>'DOE25'!L207+'DOE25'!L225+'DOE25'!L243-F14-G14</f>
        <v>1301013.04</v>
      </c>
      <c r="E14" s="242"/>
      <c r="F14" s="254">
        <f>'DOE25'!J207+'DOE25'!J225+'DOE25'!J243</f>
        <v>1265.95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969545.90999999992</v>
      </c>
      <c r="D15" s="20">
        <f>'DOE25'!L208+'DOE25'!L226+'DOE25'!L244-F15-G15</f>
        <v>969545.90999999992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31000</v>
      </c>
      <c r="D22" s="242"/>
      <c r="E22" s="242"/>
      <c r="F22" s="254">
        <f>'DOE25'!L255+'DOE25'!L336</f>
        <v>31000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1814051.5</v>
      </c>
      <c r="D25" s="242"/>
      <c r="E25" s="242"/>
      <c r="F25" s="257"/>
      <c r="G25" s="255"/>
      <c r="H25" s="256">
        <f>'DOE25'!L260+'DOE25'!L261+'DOE25'!L341+'DOE25'!L342</f>
        <v>1814051.5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279158.51999999996</v>
      </c>
      <c r="D29" s="20">
        <f>'DOE25'!L358+'DOE25'!L359+'DOE25'!L360-'DOE25'!I367-F29-G29</f>
        <v>260167.31999999995</v>
      </c>
      <c r="E29" s="242"/>
      <c r="F29" s="254">
        <f>'DOE25'!J358+'DOE25'!J359+'DOE25'!J360</f>
        <v>18991.2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333649.17000000004</v>
      </c>
      <c r="D31" s="20">
        <f>'DOE25'!L290+'DOE25'!L309+'DOE25'!L328+'DOE25'!L333+'DOE25'!L334+'DOE25'!L335-F31-G31</f>
        <v>333649.17000000004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17679297.010000002</v>
      </c>
      <c r="E33" s="245">
        <f>SUM(E5:E31)</f>
        <v>550625.96</v>
      </c>
      <c r="F33" s="245">
        <f>SUM(F5:F31)</f>
        <v>156091.79</v>
      </c>
      <c r="G33" s="245">
        <f>SUM(G5:G31)</f>
        <v>29180.959999999999</v>
      </c>
      <c r="H33" s="245">
        <f>SUM(H5:H31)</f>
        <v>1814051.5</v>
      </c>
    </row>
    <row r="35" spans="2:8" ht="12" thickBot="1" x14ac:dyDescent="0.25">
      <c r="B35" s="252" t="s">
        <v>847</v>
      </c>
      <c r="D35" s="253">
        <f>E33</f>
        <v>550625.96</v>
      </c>
      <c r="E35" s="248"/>
    </row>
    <row r="36" spans="2:8" ht="12" thickTop="1" x14ac:dyDescent="0.2">
      <c r="B36" t="s">
        <v>815</v>
      </c>
      <c r="D36" s="20">
        <f>D33</f>
        <v>17679297.010000002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J619" sqref="J619"/>
      <selection pane="bottomLeft" activeCell="B42" sqref="B4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 Brookline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544588.91</v>
      </c>
      <c r="D8" s="95">
        <f>'DOE25'!G9</f>
        <v>52258.9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7811.42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121912.42</v>
      </c>
      <c r="D11" s="95">
        <f>'DOE25'!G12</f>
        <v>59548.73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8456</v>
      </c>
      <c r="D12" s="95">
        <f>'DOE25'!G13</f>
        <v>2519.29</v>
      </c>
      <c r="E12" s="95">
        <f>'DOE25'!H13</f>
        <v>255763.5</v>
      </c>
      <c r="F12" s="95">
        <f>'DOE25'!I13</f>
        <v>0</v>
      </c>
      <c r="G12" s="95">
        <f>'DOE25'!J13</f>
        <v>86949.11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12483.92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9650.1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12569.9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-1344.42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706478.15000000014</v>
      </c>
      <c r="D18" s="41">
        <f>SUM(D8:D17)</f>
        <v>123977.02</v>
      </c>
      <c r="E18" s="41">
        <f>SUM(E8:E17)</f>
        <v>255763.5</v>
      </c>
      <c r="F18" s="41">
        <f>SUM(F8:F17)</f>
        <v>0</v>
      </c>
      <c r="G18" s="41">
        <f>SUM(G8:G17)</f>
        <v>86949.11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243724.49</v>
      </c>
      <c r="F21" s="95">
        <f>'DOE25'!I22</f>
        <v>0</v>
      </c>
      <c r="G21" s="95">
        <f>'DOE25'!J22</f>
        <v>74557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47660.92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7373.6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162740.07</v>
      </c>
      <c r="D23" s="95">
        <f>'DOE25'!G24</f>
        <v>194.82</v>
      </c>
      <c r="E23" s="95">
        <f>'DOE25'!H24</f>
        <v>12039.01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24723.89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70302.84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200</v>
      </c>
      <c r="D29" s="95">
        <f>'DOE25'!G30</f>
        <v>15246.04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305627.71999999997</v>
      </c>
      <c r="D31" s="41">
        <f>SUM(D21:D30)</f>
        <v>15440.86</v>
      </c>
      <c r="E31" s="41">
        <f>SUM(E21:E30)</f>
        <v>255763.5</v>
      </c>
      <c r="F31" s="41">
        <f>SUM(F21:F30)</f>
        <v>0</v>
      </c>
      <c r="G31" s="41">
        <f>SUM(G21:G30)</f>
        <v>81930.600000000006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9650.1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12569.9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98886.06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121762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5018.51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12381.49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164137.04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400850.43</v>
      </c>
      <c r="D50" s="41">
        <f>SUM(D34:D49)</f>
        <v>108536.16</v>
      </c>
      <c r="E50" s="41">
        <f>SUM(E34:E49)</f>
        <v>0</v>
      </c>
      <c r="F50" s="41">
        <f>SUM(F34:F49)</f>
        <v>0</v>
      </c>
      <c r="G50" s="41">
        <f>SUM(G34:G49)</f>
        <v>5018.51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706478.14999999991</v>
      </c>
      <c r="D51" s="41">
        <f>D50+D31</f>
        <v>123977.02</v>
      </c>
      <c r="E51" s="41">
        <f>E50+E31</f>
        <v>255763.5</v>
      </c>
      <c r="F51" s="41">
        <f>F50+F31</f>
        <v>0</v>
      </c>
      <c r="G51" s="41">
        <f>G50+G31</f>
        <v>86949.11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13288859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5195.99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16.71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389077.66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329955.62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335151.61</v>
      </c>
      <c r="D62" s="130">
        <f>SUM(D57:D61)</f>
        <v>389077.66</v>
      </c>
      <c r="E62" s="130">
        <f>SUM(E57:E61)</f>
        <v>0</v>
      </c>
      <c r="F62" s="130">
        <f>SUM(F57:F61)</f>
        <v>0</v>
      </c>
      <c r="G62" s="130">
        <f>SUM(G57:G61)</f>
        <v>16.71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13624010.609999999</v>
      </c>
      <c r="D63" s="22">
        <f>D56+D62</f>
        <v>389077.66</v>
      </c>
      <c r="E63" s="22">
        <f>E56+E62</f>
        <v>0</v>
      </c>
      <c r="F63" s="22">
        <f>F56+F62</f>
        <v>0</v>
      </c>
      <c r="G63" s="22">
        <f>G56+G62</f>
        <v>16.71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3131246.86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2134982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5266228.8599999994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398486.78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341142.52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6918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3896.1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746547.3</v>
      </c>
      <c r="D78" s="130">
        <f>SUM(D72:D77)</f>
        <v>3896.1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6012776.1599999992</v>
      </c>
      <c r="D81" s="130">
        <f>SUM(D79:D80)+D78+D70</f>
        <v>3896.1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12972.12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118715.84</v>
      </c>
      <c r="D88" s="95">
        <f>SUM('DOE25'!G153:G161)</f>
        <v>38614.400000000001</v>
      </c>
      <c r="E88" s="95">
        <f>SUM('DOE25'!H153:H161)</f>
        <v>333649.17000000004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118715.84</v>
      </c>
      <c r="D91" s="131">
        <f>SUM(D85:D90)</f>
        <v>51586.520000000004</v>
      </c>
      <c r="E91" s="131">
        <f>SUM(E85:E90)</f>
        <v>333649.17000000004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5623.38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5623.38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55000</v>
      </c>
    </row>
    <row r="104" spans="1:7" ht="12.75" thickTop="1" thickBot="1" x14ac:dyDescent="0.25">
      <c r="A104" s="33" t="s">
        <v>765</v>
      </c>
      <c r="C104" s="86">
        <f>C63+C81+C91+C103</f>
        <v>19761125.989999998</v>
      </c>
      <c r="D104" s="86">
        <f>D63+D81+D91+D103</f>
        <v>444560.27999999997</v>
      </c>
      <c r="E104" s="86">
        <f>E63+E81+E91+E103</f>
        <v>333649.17000000004</v>
      </c>
      <c r="F104" s="86">
        <f>F63+F81+F91+F103</f>
        <v>0</v>
      </c>
      <c r="G104" s="86">
        <f>G63+G81+G103</f>
        <v>55016.71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7510733.6200000001</v>
      </c>
      <c r="D109" s="24" t="s">
        <v>289</v>
      </c>
      <c r="E109" s="95">
        <f>('DOE25'!L276)+('DOE25'!L295)+('DOE25'!L314)</f>
        <v>105387.30000000002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3576516.58</v>
      </c>
      <c r="D110" s="24" t="s">
        <v>289</v>
      </c>
      <c r="E110" s="95">
        <f>('DOE25'!L277)+('DOE25'!L296)+('DOE25'!L315)</f>
        <v>215425.09000000003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83842.13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527860.55000000005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11698952.880000001</v>
      </c>
      <c r="D115" s="86">
        <f>SUM(D109:D114)</f>
        <v>0</v>
      </c>
      <c r="E115" s="86">
        <f>SUM(E109:E114)</f>
        <v>320812.39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1527487.25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347170.47000000003</v>
      </c>
      <c r="D119" s="24" t="s">
        <v>289</v>
      </c>
      <c r="E119" s="95">
        <f>+('DOE25'!L282)+('DOE25'!L301)+('DOE25'!L320)</f>
        <v>12836.78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783446.13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1130706.3999999999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1302278.99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969545.90999999992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508557.44999999995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6060635.1500000004</v>
      </c>
      <c r="D128" s="86">
        <f>SUM(D118:D127)</f>
        <v>508557.44999999995</v>
      </c>
      <c r="E128" s="86">
        <f>SUM(E118:E127)</f>
        <v>12836.78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31000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943142.87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870908.63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14690.1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55016.71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-16.709999999999127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1900051.5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14690.1</v>
      </c>
    </row>
    <row r="145" spans="1:9" ht="12.75" thickTop="1" thickBot="1" x14ac:dyDescent="0.25">
      <c r="A145" s="33" t="s">
        <v>244</v>
      </c>
      <c r="C145" s="86">
        <f>(C115+C128+C144)</f>
        <v>19659639.530000001</v>
      </c>
      <c r="D145" s="86">
        <f>(D115+D128+D144)</f>
        <v>508557.44999999995</v>
      </c>
      <c r="E145" s="86">
        <f>(E115+E128+E144)</f>
        <v>333649.17000000004</v>
      </c>
      <c r="F145" s="86">
        <f>(F115+F128+F144)</f>
        <v>0</v>
      </c>
      <c r="G145" s="86">
        <f>(G115+G128+G144)</f>
        <v>14690.1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 t="str">
        <f>'DOE25'!G491</f>
        <v>08/00</v>
      </c>
      <c r="D152" s="152" t="str">
        <f>'DOE25'!H491</f>
        <v>08/96</v>
      </c>
      <c r="E152" s="152" t="str">
        <f>'DOE25'!I491</f>
        <v>8/96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 t="str">
        <f>'DOE25'!G492</f>
        <v>08/15</v>
      </c>
      <c r="D153" s="152" t="str">
        <f>'DOE25'!H492</f>
        <v>08/16</v>
      </c>
      <c r="E153" s="152" t="str">
        <f>'DOE25'!I492</f>
        <v>8/16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7703400</v>
      </c>
      <c r="C154" s="137">
        <f>'DOE25'!G493</f>
        <v>3200000</v>
      </c>
      <c r="D154" s="137">
        <f>'DOE25'!H493</f>
        <v>8100000</v>
      </c>
      <c r="E154" s="137">
        <f>'DOE25'!I493</f>
        <v>2700000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5.2</v>
      </c>
      <c r="D155" s="137">
        <f>'DOE25'!H494</f>
        <v>5.71</v>
      </c>
      <c r="E155" s="137">
        <f>'DOE25'!I494</f>
        <v>5.71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5495000</v>
      </c>
      <c r="C156" s="137">
        <f>'DOE25'!G495</f>
        <v>448369</v>
      </c>
      <c r="D156" s="137">
        <f>'DOE25'!H495</f>
        <v>944941</v>
      </c>
      <c r="E156" s="137">
        <f>'DOE25'!I495</f>
        <v>810000</v>
      </c>
      <c r="F156" s="137">
        <f>'DOE25'!J495</f>
        <v>0</v>
      </c>
      <c r="G156" s="138">
        <f>SUM(B156:F156)</f>
        <v>7698310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345000</v>
      </c>
      <c r="C158" s="137">
        <f>'DOE25'!G497</f>
        <v>157065.01999999999</v>
      </c>
      <c r="D158" s="137">
        <f>'DOE25'!H497</f>
        <v>256077.85</v>
      </c>
      <c r="E158" s="137">
        <f>'DOE25'!I497</f>
        <v>185000</v>
      </c>
      <c r="F158" s="137">
        <f>'DOE25'!J497</f>
        <v>0</v>
      </c>
      <c r="G158" s="138">
        <f t="shared" si="0"/>
        <v>943142.87</v>
      </c>
    </row>
    <row r="159" spans="1:9" x14ac:dyDescent="0.2">
      <c r="A159" s="22" t="s">
        <v>35</v>
      </c>
      <c r="B159" s="137">
        <f>'DOE25'!F498</f>
        <v>5150000</v>
      </c>
      <c r="C159" s="137">
        <f>'DOE25'!G498</f>
        <v>291304</v>
      </c>
      <c r="D159" s="137">
        <f>'DOE25'!H498</f>
        <v>688863</v>
      </c>
      <c r="E159" s="137">
        <f>'DOE25'!I498</f>
        <v>625000</v>
      </c>
      <c r="F159" s="137">
        <f>'DOE25'!J498</f>
        <v>0</v>
      </c>
      <c r="G159" s="138">
        <f t="shared" si="0"/>
        <v>6755167</v>
      </c>
    </row>
    <row r="160" spans="1:9" x14ac:dyDescent="0.2">
      <c r="A160" s="22" t="s">
        <v>36</v>
      </c>
      <c r="B160" s="137">
        <f>'DOE25'!F499</f>
        <v>1475178</v>
      </c>
      <c r="C160" s="137">
        <f>'DOE25'!G499</f>
        <v>319630</v>
      </c>
      <c r="D160" s="137">
        <f>'DOE25'!H499</f>
        <v>1351881</v>
      </c>
      <c r="E160" s="137">
        <f>'DOE25'!I499</f>
        <v>42999</v>
      </c>
      <c r="F160" s="137">
        <f>'DOE25'!J499</f>
        <v>0</v>
      </c>
      <c r="G160" s="138">
        <f t="shared" si="0"/>
        <v>3189688</v>
      </c>
    </row>
    <row r="161" spans="1:7" x14ac:dyDescent="0.2">
      <c r="A161" s="22" t="s">
        <v>37</v>
      </c>
      <c r="B161" s="137">
        <f>'DOE25'!F500</f>
        <v>6625178</v>
      </c>
      <c r="C161" s="137">
        <f>'DOE25'!G500</f>
        <v>610934</v>
      </c>
      <c r="D161" s="137">
        <f>'DOE25'!H500</f>
        <v>2040744</v>
      </c>
      <c r="E161" s="137">
        <f>'DOE25'!I500</f>
        <v>667999</v>
      </c>
      <c r="F161" s="137">
        <f>'DOE25'!J500</f>
        <v>0</v>
      </c>
      <c r="G161" s="138">
        <f t="shared" si="0"/>
        <v>9944855</v>
      </c>
    </row>
    <row r="162" spans="1:7" x14ac:dyDescent="0.2">
      <c r="A162" s="22" t="s">
        <v>38</v>
      </c>
      <c r="B162" s="137">
        <f>'DOE25'!F501</f>
        <v>360000</v>
      </c>
      <c r="C162" s="137">
        <f>'DOE25'!G501</f>
        <v>150570</v>
      </c>
      <c r="D162" s="137">
        <f>'DOE25'!H501</f>
        <v>242829</v>
      </c>
      <c r="E162" s="137">
        <f>'DOE25'!I501</f>
        <v>195000</v>
      </c>
      <c r="F162" s="137">
        <f>'DOE25'!J501</f>
        <v>0</v>
      </c>
      <c r="G162" s="138">
        <f t="shared" si="0"/>
        <v>948399</v>
      </c>
    </row>
    <row r="163" spans="1:7" x14ac:dyDescent="0.2">
      <c r="A163" s="22" t="s">
        <v>39</v>
      </c>
      <c r="B163" s="137">
        <f>'DOE25'!F502</f>
        <v>238784</v>
      </c>
      <c r="C163" s="137">
        <f>'DOE25'!G502</f>
        <v>157546</v>
      </c>
      <c r="D163" s="137">
        <f>'DOE25'!H502</f>
        <v>438021</v>
      </c>
      <c r="E163" s="137">
        <f>'DOE25'!I502</f>
        <v>30331</v>
      </c>
      <c r="F163" s="137">
        <f>'DOE25'!J502</f>
        <v>0</v>
      </c>
      <c r="G163" s="138">
        <f t="shared" si="0"/>
        <v>864682</v>
      </c>
    </row>
    <row r="164" spans="1:7" x14ac:dyDescent="0.2">
      <c r="A164" s="22" t="s">
        <v>246</v>
      </c>
      <c r="B164" s="137">
        <f>'DOE25'!F503</f>
        <v>598784</v>
      </c>
      <c r="C164" s="137">
        <f>'DOE25'!G503</f>
        <v>308116</v>
      </c>
      <c r="D164" s="137">
        <f>'DOE25'!H503</f>
        <v>680850</v>
      </c>
      <c r="E164" s="137">
        <f>'DOE25'!I503</f>
        <v>225331</v>
      </c>
      <c r="F164" s="137">
        <f>'DOE25'!J503</f>
        <v>0</v>
      </c>
      <c r="G164" s="138">
        <f t="shared" si="0"/>
        <v>1813081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619" sqref="J61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304" t="s">
        <v>740</v>
      </c>
      <c r="B1" s="304"/>
      <c r="C1" s="304"/>
      <c r="D1" s="304"/>
    </row>
    <row r="2" spans="1:4" x14ac:dyDescent="0.2">
      <c r="A2" s="186" t="s">
        <v>717</v>
      </c>
      <c r="B2" s="185" t="str">
        <f>'DOE25'!A2</f>
        <v>Hollis Brookline Cooperative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0</v>
      </c>
    </row>
    <row r="5" spans="1:4" x14ac:dyDescent="0.2">
      <c r="B5" t="s">
        <v>704</v>
      </c>
      <c r="C5" s="178">
        <f>IF('DOE25'!G665+'DOE25'!G670=0,0,ROUND('DOE25'!G672,0))</f>
        <v>14928</v>
      </c>
    </row>
    <row r="6" spans="1:4" x14ac:dyDescent="0.2">
      <c r="B6" t="s">
        <v>62</v>
      </c>
      <c r="C6" s="178">
        <f>IF('DOE25'!H665+'DOE25'!H670=0,0,ROUND('DOE25'!H672,0))</f>
        <v>12686</v>
      </c>
    </row>
    <row r="7" spans="1:4" x14ac:dyDescent="0.2">
      <c r="B7" t="s">
        <v>705</v>
      </c>
      <c r="C7" s="178">
        <f>IF('DOE25'!I665+'DOE25'!I670=0,0,ROUND('DOE25'!I672,0))</f>
        <v>13379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7616121</v>
      </c>
      <c r="D10" s="181">
        <f>ROUND((C10/$C$28)*100,1)</f>
        <v>39.9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3791942</v>
      </c>
      <c r="D11" s="181">
        <f>ROUND((C11/$C$28)*100,1)</f>
        <v>19.899999999999999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83842</v>
      </c>
      <c r="D12" s="181">
        <f>ROUND((C12/$C$28)*100,1)</f>
        <v>0.4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527861</v>
      </c>
      <c r="D13" s="181">
        <f>ROUND((C13/$C$28)*100,1)</f>
        <v>2.8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1527487</v>
      </c>
      <c r="D15" s="181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360007</v>
      </c>
      <c r="D16" s="181">
        <f t="shared" si="0"/>
        <v>1.9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783446</v>
      </c>
      <c r="D17" s="181">
        <f t="shared" si="0"/>
        <v>4.0999999999999996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1130706</v>
      </c>
      <c r="D18" s="181">
        <f t="shared" si="0"/>
        <v>5.9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1302279</v>
      </c>
      <c r="D20" s="181">
        <f t="shared" si="0"/>
        <v>6.8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969546</v>
      </c>
      <c r="D21" s="181">
        <f t="shared" si="0"/>
        <v>5.0999999999999996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870909</v>
      </c>
      <c r="D25" s="181">
        <f t="shared" si="0"/>
        <v>4.5999999999999996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119479.34000000003</v>
      </c>
      <c r="D27" s="181">
        <f t="shared" si="0"/>
        <v>0.6</v>
      </c>
    </row>
    <row r="28" spans="1:4" x14ac:dyDescent="0.2">
      <c r="B28" s="186" t="s">
        <v>723</v>
      </c>
      <c r="C28" s="179">
        <f>SUM(C10:C27)</f>
        <v>19083625.34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31000</v>
      </c>
    </row>
    <row r="30" spans="1:4" x14ac:dyDescent="0.2">
      <c r="B30" s="186" t="s">
        <v>729</v>
      </c>
      <c r="C30" s="179">
        <f>SUM(C28:C29)</f>
        <v>19114625.34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943143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13288859</v>
      </c>
      <c r="D35" s="181">
        <f t="shared" ref="D35:D40" si="1">ROUND((C35/$C$41)*100,1)</f>
        <v>66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335168.3200000003</v>
      </c>
      <c r="D36" s="181">
        <f t="shared" si="1"/>
        <v>1.7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5266229</v>
      </c>
      <c r="D37" s="181">
        <f t="shared" si="1"/>
        <v>26.1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750443</v>
      </c>
      <c r="D38" s="181">
        <f t="shared" si="1"/>
        <v>3.7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503952</v>
      </c>
      <c r="D39" s="181">
        <f t="shared" si="1"/>
        <v>2.5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20144651.32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J619" sqref="J619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9" t="s">
        <v>770</v>
      </c>
      <c r="B1" s="310"/>
      <c r="C1" s="310"/>
      <c r="D1" s="310"/>
      <c r="E1" s="310"/>
      <c r="F1" s="310"/>
      <c r="G1" s="310"/>
      <c r="H1" s="310"/>
      <c r="I1" s="310"/>
      <c r="J1" s="212"/>
      <c r="K1" s="212"/>
      <c r="L1" s="212"/>
      <c r="M1" s="213"/>
    </row>
    <row r="2" spans="1:26" ht="12.75" x14ac:dyDescent="0.2">
      <c r="A2" s="315" t="s">
        <v>767</v>
      </c>
      <c r="B2" s="316"/>
      <c r="C2" s="316"/>
      <c r="D2" s="316"/>
      <c r="E2" s="316"/>
      <c r="F2" s="313" t="str">
        <f>'DOE25'!A2</f>
        <v>Hollis Brookline Cooperative</v>
      </c>
      <c r="G2" s="314"/>
      <c r="H2" s="314"/>
      <c r="I2" s="314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311" t="s">
        <v>771</v>
      </c>
      <c r="D3" s="311"/>
      <c r="E3" s="311"/>
      <c r="F3" s="311"/>
      <c r="G3" s="311"/>
      <c r="H3" s="311"/>
      <c r="I3" s="311"/>
      <c r="J3" s="311"/>
      <c r="K3" s="311"/>
      <c r="L3" s="311"/>
      <c r="M3" s="312"/>
    </row>
    <row r="4" spans="1:26" x14ac:dyDescent="0.2">
      <c r="A4" s="217">
        <v>3</v>
      </c>
      <c r="B4" s="218">
        <v>24</v>
      </c>
      <c r="C4" s="307" t="s">
        <v>920</v>
      </c>
      <c r="D4" s="307"/>
      <c r="E4" s="307"/>
      <c r="F4" s="307"/>
      <c r="G4" s="307"/>
      <c r="H4" s="307"/>
      <c r="I4" s="307"/>
      <c r="J4" s="307"/>
      <c r="K4" s="307"/>
      <c r="L4" s="307"/>
      <c r="M4" s="30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8"/>
      <c r="N29" s="210"/>
      <c r="O29" s="210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206"/>
      <c r="AB29" s="206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206"/>
      <c r="AO29" s="206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206"/>
      <c r="BB29" s="206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206"/>
      <c r="BO29" s="206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206"/>
      <c r="CB29" s="206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206"/>
      <c r="CO29" s="206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206"/>
      <c r="DB29" s="206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206"/>
      <c r="DO29" s="206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206"/>
      <c r="EB29" s="206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206"/>
      <c r="EO29" s="206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206"/>
      <c r="FB29" s="206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206"/>
      <c r="FO29" s="206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206"/>
      <c r="GB29" s="206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206"/>
      <c r="GO29" s="206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206"/>
      <c r="HB29" s="206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206"/>
      <c r="HO29" s="206"/>
      <c r="HP29" s="305"/>
      <c r="HQ29" s="305"/>
      <c r="HR29" s="305"/>
      <c r="HS29" s="305"/>
      <c r="HT29" s="305"/>
      <c r="HU29" s="305"/>
      <c r="HV29" s="305"/>
      <c r="HW29" s="305"/>
      <c r="HX29" s="305"/>
      <c r="HY29" s="305"/>
      <c r="HZ29" s="305"/>
      <c r="IA29" s="206"/>
      <c r="IB29" s="206"/>
      <c r="IC29" s="305"/>
      <c r="ID29" s="305"/>
      <c r="IE29" s="305"/>
      <c r="IF29" s="305"/>
      <c r="IG29" s="305"/>
      <c r="IH29" s="305"/>
      <c r="II29" s="305"/>
      <c r="IJ29" s="305"/>
      <c r="IK29" s="305"/>
      <c r="IL29" s="305"/>
      <c r="IM29" s="305"/>
      <c r="IN29" s="206"/>
      <c r="IO29" s="206"/>
      <c r="IP29" s="305"/>
      <c r="IQ29" s="305"/>
      <c r="IR29" s="305"/>
      <c r="IS29" s="305"/>
      <c r="IT29" s="305"/>
      <c r="IU29" s="305"/>
      <c r="IV29" s="305"/>
    </row>
    <row r="30" spans="1:256" x14ac:dyDescent="0.2">
      <c r="A30" s="217"/>
      <c r="B30" s="218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8"/>
      <c r="N30" s="210"/>
      <c r="O30" s="210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206"/>
      <c r="AB30" s="206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206"/>
      <c r="AO30" s="206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206"/>
      <c r="BB30" s="206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206"/>
      <c r="BO30" s="206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206"/>
      <c r="CB30" s="206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206"/>
      <c r="CO30" s="206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206"/>
      <c r="DB30" s="206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206"/>
      <c r="DO30" s="206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206"/>
      <c r="EB30" s="206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206"/>
      <c r="EO30" s="206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206"/>
      <c r="FB30" s="206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206"/>
      <c r="FO30" s="206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206"/>
      <c r="GB30" s="206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206"/>
      <c r="GO30" s="206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206"/>
      <c r="HB30" s="206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206"/>
      <c r="HO30" s="206"/>
      <c r="HP30" s="305"/>
      <c r="HQ30" s="305"/>
      <c r="HR30" s="305"/>
      <c r="HS30" s="305"/>
      <c r="HT30" s="305"/>
      <c r="HU30" s="305"/>
      <c r="HV30" s="305"/>
      <c r="HW30" s="305"/>
      <c r="HX30" s="305"/>
      <c r="HY30" s="305"/>
      <c r="HZ30" s="305"/>
      <c r="IA30" s="206"/>
      <c r="IB30" s="206"/>
      <c r="IC30" s="305"/>
      <c r="ID30" s="305"/>
      <c r="IE30" s="305"/>
      <c r="IF30" s="305"/>
      <c r="IG30" s="305"/>
      <c r="IH30" s="305"/>
      <c r="II30" s="305"/>
      <c r="IJ30" s="305"/>
      <c r="IK30" s="305"/>
      <c r="IL30" s="305"/>
      <c r="IM30" s="305"/>
      <c r="IN30" s="206"/>
      <c r="IO30" s="206"/>
      <c r="IP30" s="305"/>
      <c r="IQ30" s="305"/>
      <c r="IR30" s="305"/>
      <c r="IS30" s="305"/>
      <c r="IT30" s="305"/>
      <c r="IU30" s="305"/>
      <c r="IV30" s="305"/>
    </row>
    <row r="31" spans="1:256" x14ac:dyDescent="0.2">
      <c r="A31" s="217"/>
      <c r="B31" s="218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8"/>
      <c r="N31" s="210"/>
      <c r="O31" s="210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206"/>
      <c r="AB31" s="206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206"/>
      <c r="AO31" s="206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206"/>
      <c r="BB31" s="206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206"/>
      <c r="BO31" s="206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206"/>
      <c r="CB31" s="206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206"/>
      <c r="CO31" s="206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206"/>
      <c r="DB31" s="206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206"/>
      <c r="DO31" s="206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206"/>
      <c r="EB31" s="206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206"/>
      <c r="EO31" s="206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206"/>
      <c r="FB31" s="206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206"/>
      <c r="FO31" s="206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206"/>
      <c r="GB31" s="206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206"/>
      <c r="GO31" s="206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206"/>
      <c r="HB31" s="206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206"/>
      <c r="HO31" s="206"/>
      <c r="HP31" s="305"/>
      <c r="HQ31" s="305"/>
      <c r="HR31" s="305"/>
      <c r="HS31" s="305"/>
      <c r="HT31" s="305"/>
      <c r="HU31" s="305"/>
      <c r="HV31" s="305"/>
      <c r="HW31" s="305"/>
      <c r="HX31" s="305"/>
      <c r="HY31" s="305"/>
      <c r="HZ31" s="305"/>
      <c r="IA31" s="206"/>
      <c r="IB31" s="206"/>
      <c r="IC31" s="305"/>
      <c r="ID31" s="305"/>
      <c r="IE31" s="305"/>
      <c r="IF31" s="305"/>
      <c r="IG31" s="305"/>
      <c r="IH31" s="305"/>
      <c r="II31" s="305"/>
      <c r="IJ31" s="305"/>
      <c r="IK31" s="305"/>
      <c r="IL31" s="305"/>
      <c r="IM31" s="305"/>
      <c r="IN31" s="206"/>
      <c r="IO31" s="206"/>
      <c r="IP31" s="305"/>
      <c r="IQ31" s="305"/>
      <c r="IR31" s="305"/>
      <c r="IS31" s="305"/>
      <c r="IT31" s="305"/>
      <c r="IU31" s="305"/>
      <c r="IV31" s="305"/>
    </row>
    <row r="32" spans="1:256" x14ac:dyDescent="0.2">
      <c r="A32" s="217"/>
      <c r="B32" s="218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8"/>
      <c r="N32" s="222"/>
      <c r="O32" s="222"/>
      <c r="P32" s="317"/>
      <c r="Q32" s="317"/>
      <c r="R32" s="317"/>
      <c r="S32" s="317"/>
      <c r="T32" s="317"/>
      <c r="U32" s="317"/>
      <c r="V32" s="317"/>
      <c r="W32" s="317"/>
      <c r="X32" s="317"/>
      <c r="Y32" s="317"/>
      <c r="Z32" s="318"/>
      <c r="AA32" s="217"/>
      <c r="AB32" s="218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8"/>
      <c r="AN32" s="217"/>
      <c r="AO32" s="218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8"/>
      <c r="BA32" s="217"/>
      <c r="BB32" s="218"/>
      <c r="BC32" s="307"/>
      <c r="BD32" s="307"/>
      <c r="BE32" s="307"/>
      <c r="BF32" s="307"/>
      <c r="BG32" s="307"/>
      <c r="BH32" s="307"/>
      <c r="BI32" s="307"/>
      <c r="BJ32" s="307"/>
      <c r="BK32" s="307"/>
      <c r="BL32" s="307"/>
      <c r="BM32" s="308"/>
      <c r="BN32" s="217"/>
      <c r="BO32" s="218"/>
      <c r="BP32" s="307"/>
      <c r="BQ32" s="307"/>
      <c r="BR32" s="307"/>
      <c r="BS32" s="307"/>
      <c r="BT32" s="307"/>
      <c r="BU32" s="307"/>
      <c r="BV32" s="307"/>
      <c r="BW32" s="307"/>
      <c r="BX32" s="307"/>
      <c r="BY32" s="307"/>
      <c r="BZ32" s="308"/>
      <c r="CA32" s="217"/>
      <c r="CB32" s="218"/>
      <c r="CC32" s="307"/>
      <c r="CD32" s="307"/>
      <c r="CE32" s="307"/>
      <c r="CF32" s="307"/>
      <c r="CG32" s="307"/>
      <c r="CH32" s="307"/>
      <c r="CI32" s="307"/>
      <c r="CJ32" s="307"/>
      <c r="CK32" s="307"/>
      <c r="CL32" s="307"/>
      <c r="CM32" s="308"/>
      <c r="CN32" s="217"/>
      <c r="CO32" s="218"/>
      <c r="CP32" s="307"/>
      <c r="CQ32" s="307"/>
      <c r="CR32" s="307"/>
      <c r="CS32" s="307"/>
      <c r="CT32" s="307"/>
      <c r="CU32" s="307"/>
      <c r="CV32" s="307"/>
      <c r="CW32" s="307"/>
      <c r="CX32" s="307"/>
      <c r="CY32" s="307"/>
      <c r="CZ32" s="308"/>
      <c r="DA32" s="217"/>
      <c r="DB32" s="218"/>
      <c r="DC32" s="307"/>
      <c r="DD32" s="307"/>
      <c r="DE32" s="307"/>
      <c r="DF32" s="307"/>
      <c r="DG32" s="307"/>
      <c r="DH32" s="307"/>
      <c r="DI32" s="307"/>
      <c r="DJ32" s="307"/>
      <c r="DK32" s="307"/>
      <c r="DL32" s="307"/>
      <c r="DM32" s="308"/>
      <c r="DN32" s="217"/>
      <c r="DO32" s="218"/>
      <c r="DP32" s="307"/>
      <c r="DQ32" s="307"/>
      <c r="DR32" s="307"/>
      <c r="DS32" s="307"/>
      <c r="DT32" s="307"/>
      <c r="DU32" s="307"/>
      <c r="DV32" s="307"/>
      <c r="DW32" s="307"/>
      <c r="DX32" s="307"/>
      <c r="DY32" s="307"/>
      <c r="DZ32" s="308"/>
      <c r="EA32" s="217"/>
      <c r="EB32" s="218"/>
      <c r="EC32" s="307"/>
      <c r="ED32" s="307"/>
      <c r="EE32" s="307"/>
      <c r="EF32" s="307"/>
      <c r="EG32" s="307"/>
      <c r="EH32" s="307"/>
      <c r="EI32" s="307"/>
      <c r="EJ32" s="307"/>
      <c r="EK32" s="307"/>
      <c r="EL32" s="307"/>
      <c r="EM32" s="308"/>
      <c r="EN32" s="217"/>
      <c r="EO32" s="218"/>
      <c r="EP32" s="307"/>
      <c r="EQ32" s="307"/>
      <c r="ER32" s="307"/>
      <c r="ES32" s="307"/>
      <c r="ET32" s="307"/>
      <c r="EU32" s="307"/>
      <c r="EV32" s="307"/>
      <c r="EW32" s="307"/>
      <c r="EX32" s="307"/>
      <c r="EY32" s="307"/>
      <c r="EZ32" s="308"/>
      <c r="FA32" s="217"/>
      <c r="FB32" s="218"/>
      <c r="FC32" s="307"/>
      <c r="FD32" s="307"/>
      <c r="FE32" s="307"/>
      <c r="FF32" s="307"/>
      <c r="FG32" s="307"/>
      <c r="FH32" s="307"/>
      <c r="FI32" s="307"/>
      <c r="FJ32" s="307"/>
      <c r="FK32" s="307"/>
      <c r="FL32" s="307"/>
      <c r="FM32" s="308"/>
      <c r="FN32" s="217"/>
      <c r="FO32" s="218"/>
      <c r="FP32" s="307"/>
      <c r="FQ32" s="307"/>
      <c r="FR32" s="307"/>
      <c r="FS32" s="307"/>
      <c r="FT32" s="307"/>
      <c r="FU32" s="307"/>
      <c r="FV32" s="307"/>
      <c r="FW32" s="307"/>
      <c r="FX32" s="307"/>
      <c r="FY32" s="307"/>
      <c r="FZ32" s="308"/>
      <c r="GA32" s="217"/>
      <c r="GB32" s="218"/>
      <c r="GC32" s="307"/>
      <c r="GD32" s="307"/>
      <c r="GE32" s="307"/>
      <c r="GF32" s="307"/>
      <c r="GG32" s="307"/>
      <c r="GH32" s="307"/>
      <c r="GI32" s="307"/>
      <c r="GJ32" s="307"/>
      <c r="GK32" s="307"/>
      <c r="GL32" s="307"/>
      <c r="GM32" s="308"/>
      <c r="GN32" s="217"/>
      <c r="GO32" s="218"/>
      <c r="GP32" s="307"/>
      <c r="GQ32" s="307"/>
      <c r="GR32" s="307"/>
      <c r="GS32" s="307"/>
      <c r="GT32" s="307"/>
      <c r="GU32" s="307"/>
      <c r="GV32" s="307"/>
      <c r="GW32" s="307"/>
      <c r="GX32" s="307"/>
      <c r="GY32" s="307"/>
      <c r="GZ32" s="308"/>
      <c r="HA32" s="217"/>
      <c r="HB32" s="218"/>
      <c r="HC32" s="307"/>
      <c r="HD32" s="307"/>
      <c r="HE32" s="307"/>
      <c r="HF32" s="307"/>
      <c r="HG32" s="307"/>
      <c r="HH32" s="307"/>
      <c r="HI32" s="307"/>
      <c r="HJ32" s="307"/>
      <c r="HK32" s="307"/>
      <c r="HL32" s="307"/>
      <c r="HM32" s="308"/>
      <c r="HN32" s="217"/>
      <c r="HO32" s="218"/>
      <c r="HP32" s="307"/>
      <c r="HQ32" s="307"/>
      <c r="HR32" s="307"/>
      <c r="HS32" s="307"/>
      <c r="HT32" s="307"/>
      <c r="HU32" s="307"/>
      <c r="HV32" s="307"/>
      <c r="HW32" s="307"/>
      <c r="HX32" s="307"/>
      <c r="HY32" s="307"/>
      <c r="HZ32" s="308"/>
      <c r="IA32" s="217"/>
      <c r="IB32" s="218"/>
      <c r="IC32" s="307"/>
      <c r="ID32" s="307"/>
      <c r="IE32" s="307"/>
      <c r="IF32" s="307"/>
      <c r="IG32" s="307"/>
      <c r="IH32" s="307"/>
      <c r="II32" s="307"/>
      <c r="IJ32" s="307"/>
      <c r="IK32" s="307"/>
      <c r="IL32" s="307"/>
      <c r="IM32" s="308"/>
      <c r="IN32" s="217"/>
      <c r="IO32" s="218"/>
      <c r="IP32" s="307"/>
      <c r="IQ32" s="307"/>
      <c r="IR32" s="307"/>
      <c r="IS32" s="307"/>
      <c r="IT32" s="307"/>
      <c r="IU32" s="307"/>
      <c r="IV32" s="307"/>
    </row>
    <row r="33" spans="1:256" x14ac:dyDescent="0.2">
      <c r="A33" s="217"/>
      <c r="B33" s="218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8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8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8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8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8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8"/>
      <c r="N38" s="210"/>
      <c r="O38" s="210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206"/>
      <c r="AB38" s="206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206"/>
      <c r="AO38" s="206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206"/>
      <c r="BB38" s="206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206"/>
      <c r="BO38" s="206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206"/>
      <c r="CB38" s="206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206"/>
      <c r="CO38" s="206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206"/>
      <c r="DB38" s="206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206"/>
      <c r="DO38" s="206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206"/>
      <c r="EB38" s="206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206"/>
      <c r="EO38" s="206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206"/>
      <c r="FB38" s="206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206"/>
      <c r="FO38" s="206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206"/>
      <c r="GB38" s="206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206"/>
      <c r="GO38" s="206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206"/>
      <c r="HB38" s="206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206"/>
      <c r="HO38" s="206"/>
      <c r="HP38" s="305"/>
      <c r="HQ38" s="305"/>
      <c r="HR38" s="305"/>
      <c r="HS38" s="305"/>
      <c r="HT38" s="305"/>
      <c r="HU38" s="305"/>
      <c r="HV38" s="305"/>
      <c r="HW38" s="305"/>
      <c r="HX38" s="305"/>
      <c r="HY38" s="305"/>
      <c r="HZ38" s="305"/>
      <c r="IA38" s="206"/>
      <c r="IB38" s="206"/>
      <c r="IC38" s="305"/>
      <c r="ID38" s="305"/>
      <c r="IE38" s="305"/>
      <c r="IF38" s="305"/>
      <c r="IG38" s="305"/>
      <c r="IH38" s="305"/>
      <c r="II38" s="305"/>
      <c r="IJ38" s="305"/>
      <c r="IK38" s="305"/>
      <c r="IL38" s="305"/>
      <c r="IM38" s="305"/>
      <c r="IN38" s="206"/>
      <c r="IO38" s="206"/>
      <c r="IP38" s="305"/>
      <c r="IQ38" s="305"/>
      <c r="IR38" s="305"/>
      <c r="IS38" s="305"/>
      <c r="IT38" s="305"/>
      <c r="IU38" s="305"/>
      <c r="IV38" s="305"/>
    </row>
    <row r="39" spans="1:256" x14ac:dyDescent="0.2">
      <c r="A39" s="217"/>
      <c r="B39" s="218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8"/>
      <c r="N39" s="210"/>
      <c r="O39" s="210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206"/>
      <c r="AB39" s="206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206"/>
      <c r="AO39" s="206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206"/>
      <c r="BB39" s="206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206"/>
      <c r="BO39" s="206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206"/>
      <c r="CB39" s="206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206"/>
      <c r="CO39" s="206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206"/>
      <c r="DB39" s="206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206"/>
      <c r="DO39" s="206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206"/>
      <c r="EB39" s="206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206"/>
      <c r="EO39" s="206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206"/>
      <c r="FB39" s="206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206"/>
      <c r="FO39" s="206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206"/>
      <c r="GB39" s="206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206"/>
      <c r="GO39" s="206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206"/>
      <c r="HB39" s="206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206"/>
      <c r="HO39" s="206"/>
      <c r="HP39" s="305"/>
      <c r="HQ39" s="305"/>
      <c r="HR39" s="305"/>
      <c r="HS39" s="305"/>
      <c r="HT39" s="305"/>
      <c r="HU39" s="305"/>
      <c r="HV39" s="305"/>
      <c r="HW39" s="305"/>
      <c r="HX39" s="305"/>
      <c r="HY39" s="305"/>
      <c r="HZ39" s="305"/>
      <c r="IA39" s="206"/>
      <c r="IB39" s="206"/>
      <c r="IC39" s="305"/>
      <c r="ID39" s="305"/>
      <c r="IE39" s="305"/>
      <c r="IF39" s="305"/>
      <c r="IG39" s="305"/>
      <c r="IH39" s="305"/>
      <c r="II39" s="305"/>
      <c r="IJ39" s="305"/>
      <c r="IK39" s="305"/>
      <c r="IL39" s="305"/>
      <c r="IM39" s="305"/>
      <c r="IN39" s="206"/>
      <c r="IO39" s="206"/>
      <c r="IP39" s="305"/>
      <c r="IQ39" s="305"/>
      <c r="IR39" s="305"/>
      <c r="IS39" s="305"/>
      <c r="IT39" s="305"/>
      <c r="IU39" s="305"/>
      <c r="IV39" s="305"/>
    </row>
    <row r="40" spans="1:256" x14ac:dyDescent="0.2">
      <c r="A40" s="217"/>
      <c r="B40" s="218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8"/>
      <c r="N40" s="210"/>
      <c r="O40" s="210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206"/>
      <c r="AB40" s="206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206"/>
      <c r="AO40" s="206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206"/>
      <c r="BB40" s="206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206"/>
      <c r="BO40" s="206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206"/>
      <c r="CB40" s="206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206"/>
      <c r="CO40" s="206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206"/>
      <c r="DB40" s="206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206"/>
      <c r="DO40" s="206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206"/>
      <c r="EB40" s="206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206"/>
      <c r="EO40" s="206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206"/>
      <c r="FB40" s="206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206"/>
      <c r="FO40" s="206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206"/>
      <c r="GB40" s="206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206"/>
      <c r="GO40" s="206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206"/>
      <c r="HB40" s="206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206"/>
      <c r="HO40" s="206"/>
      <c r="HP40" s="305"/>
      <c r="HQ40" s="305"/>
      <c r="HR40" s="305"/>
      <c r="HS40" s="305"/>
      <c r="HT40" s="305"/>
      <c r="HU40" s="305"/>
      <c r="HV40" s="305"/>
      <c r="HW40" s="305"/>
      <c r="HX40" s="305"/>
      <c r="HY40" s="305"/>
      <c r="HZ40" s="305"/>
      <c r="IA40" s="206"/>
      <c r="IB40" s="206"/>
      <c r="IC40" s="305"/>
      <c r="ID40" s="305"/>
      <c r="IE40" s="305"/>
      <c r="IF40" s="305"/>
      <c r="IG40" s="305"/>
      <c r="IH40" s="305"/>
      <c r="II40" s="305"/>
      <c r="IJ40" s="305"/>
      <c r="IK40" s="305"/>
      <c r="IL40" s="305"/>
      <c r="IM40" s="305"/>
      <c r="IN40" s="206"/>
      <c r="IO40" s="206"/>
      <c r="IP40" s="305"/>
      <c r="IQ40" s="305"/>
      <c r="IR40" s="305"/>
      <c r="IS40" s="305"/>
      <c r="IT40" s="305"/>
      <c r="IU40" s="305"/>
      <c r="IV40" s="305"/>
    </row>
    <row r="41" spans="1:256" x14ac:dyDescent="0.2">
      <c r="A41" s="217"/>
      <c r="B41" s="218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8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8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8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8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8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8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8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8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8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8"/>
    </row>
    <row r="60" spans="1:256" x14ac:dyDescent="0.2">
      <c r="A60" s="217"/>
      <c r="B60" s="218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8"/>
    </row>
    <row r="61" spans="1:256" x14ac:dyDescent="0.2">
      <c r="A61" s="217"/>
      <c r="B61" s="218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8"/>
    </row>
    <row r="62" spans="1:256" x14ac:dyDescent="0.2">
      <c r="A62" s="217"/>
      <c r="B62" s="218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8"/>
    </row>
    <row r="63" spans="1:256" x14ac:dyDescent="0.2">
      <c r="A63" s="217"/>
      <c r="B63" s="218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8"/>
    </row>
    <row r="64" spans="1:256" x14ac:dyDescent="0.2">
      <c r="A64" s="217"/>
      <c r="B64" s="218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8"/>
    </row>
    <row r="65" spans="1:13" x14ac:dyDescent="0.2">
      <c r="A65" s="217"/>
      <c r="B65" s="218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8"/>
    </row>
    <row r="66" spans="1:13" x14ac:dyDescent="0.2">
      <c r="A66" s="217"/>
      <c r="B66" s="218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8"/>
    </row>
    <row r="67" spans="1:13" x14ac:dyDescent="0.2">
      <c r="A67" s="217"/>
      <c r="B67" s="218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8"/>
    </row>
    <row r="68" spans="1:13" x14ac:dyDescent="0.2">
      <c r="A68" s="217"/>
      <c r="B68" s="218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8"/>
    </row>
    <row r="69" spans="1:13" x14ac:dyDescent="0.2">
      <c r="A69" s="217"/>
      <c r="B69" s="218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8"/>
    </row>
    <row r="70" spans="1:13" ht="12" thickBot="1" x14ac:dyDescent="0.25">
      <c r="A70" s="219"/>
      <c r="B70" s="220"/>
      <c r="C70" s="320"/>
      <c r="D70" s="320"/>
      <c r="E70" s="320"/>
      <c r="F70" s="320"/>
      <c r="G70" s="320"/>
      <c r="H70" s="320"/>
      <c r="I70" s="320"/>
      <c r="J70" s="320"/>
      <c r="K70" s="320"/>
      <c r="L70" s="320"/>
      <c r="M70" s="321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22" t="s">
        <v>848</v>
      </c>
      <c r="B72" s="322"/>
      <c r="C72" s="322"/>
      <c r="D72" s="322"/>
      <c r="E72" s="32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</row>
    <row r="74" spans="1:13" x14ac:dyDescent="0.2">
      <c r="A74" s="210"/>
      <c r="B74" s="210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</row>
    <row r="75" spans="1:13" x14ac:dyDescent="0.2">
      <c r="A75" s="210"/>
      <c r="B75" s="210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</row>
    <row r="76" spans="1:13" x14ac:dyDescent="0.2">
      <c r="A76" s="210"/>
      <c r="B76" s="210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</row>
    <row r="77" spans="1:13" x14ac:dyDescent="0.2">
      <c r="A77" s="210"/>
      <c r="B77" s="210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</row>
    <row r="78" spans="1:13" x14ac:dyDescent="0.2">
      <c r="A78" s="210"/>
      <c r="B78" s="210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</row>
    <row r="79" spans="1:13" x14ac:dyDescent="0.2">
      <c r="A79" s="210"/>
      <c r="B79" s="210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</row>
    <row r="80" spans="1:13" x14ac:dyDescent="0.2">
      <c r="A80" s="210"/>
      <c r="B80" s="210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</row>
    <row r="81" spans="1:13" x14ac:dyDescent="0.2">
      <c r="A81" s="210"/>
      <c r="B81" s="210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</row>
    <row r="82" spans="1:13" x14ac:dyDescent="0.2">
      <c r="A82" s="210"/>
      <c r="B82" s="210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</row>
    <row r="83" spans="1:13" x14ac:dyDescent="0.2">
      <c r="A83" s="210"/>
      <c r="B83" s="210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</row>
    <row r="84" spans="1:13" x14ac:dyDescent="0.2">
      <c r="A84" s="210"/>
      <c r="B84" s="210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</row>
    <row r="85" spans="1:13" x14ac:dyDescent="0.2">
      <c r="A85" s="210"/>
      <c r="B85" s="210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</row>
    <row r="86" spans="1:13" x14ac:dyDescent="0.2">
      <c r="A86" s="210"/>
      <c r="B86" s="210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</row>
    <row r="87" spans="1:13" x14ac:dyDescent="0.2">
      <c r="A87" s="210"/>
      <c r="B87" s="210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</row>
    <row r="88" spans="1:13" x14ac:dyDescent="0.2">
      <c r="A88" s="210"/>
      <c r="B88" s="210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</row>
    <row r="89" spans="1:13" x14ac:dyDescent="0.2">
      <c r="A89" s="210"/>
      <c r="B89" s="210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</row>
    <row r="90" spans="1:13" x14ac:dyDescent="0.2">
      <c r="A90" s="210"/>
      <c r="B90" s="210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2014-10-01T12:27:15Z</cp:lastPrinted>
  <dcterms:created xsi:type="dcterms:W3CDTF">1997-12-04T19:04:30Z</dcterms:created>
  <dcterms:modified xsi:type="dcterms:W3CDTF">2014-12-05T16:12:32Z</dcterms:modified>
</cp:coreProperties>
</file>