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663" i="1" l="1"/>
  <c r="G663" i="1"/>
  <c r="H526" i="1" l="1"/>
  <c r="I527" i="1" l="1"/>
  <c r="I526" i="1"/>
  <c r="I521" i="1"/>
  <c r="I522" i="1"/>
  <c r="H527" i="1"/>
  <c r="G526" i="1"/>
  <c r="F526" i="1"/>
  <c r="G521" i="1"/>
  <c r="F521" i="1"/>
  <c r="G527" i="1"/>
  <c r="F527" i="1"/>
  <c r="J522" i="1"/>
  <c r="J521" i="1"/>
  <c r="G522" i="1"/>
  <c r="F522" i="1"/>
  <c r="H523" i="1"/>
  <c r="G523" i="1"/>
  <c r="F523" i="1"/>
  <c r="F528" i="1"/>
  <c r="G528" i="1"/>
  <c r="H528" i="1"/>
  <c r="H522" i="1"/>
  <c r="H532" i="1"/>
  <c r="H531" i="1"/>
  <c r="J526" i="1"/>
  <c r="K526" i="1"/>
  <c r="H521" i="1"/>
  <c r="J533" i="1"/>
  <c r="J532" i="1"/>
  <c r="J531" i="1"/>
  <c r="I533" i="1"/>
  <c r="I532" i="1"/>
  <c r="I531" i="1"/>
  <c r="H533" i="1"/>
  <c r="G533" i="1"/>
  <c r="G532" i="1"/>
  <c r="G531" i="1"/>
  <c r="F533" i="1"/>
  <c r="F532" i="1"/>
  <c r="F531" i="1"/>
  <c r="I567" i="1"/>
  <c r="G567" i="1"/>
  <c r="F567" i="1"/>
  <c r="I562" i="1"/>
  <c r="G562" i="1"/>
  <c r="F562" i="1"/>
  <c r="I197" i="1" l="1"/>
  <c r="G611" i="1"/>
  <c r="F611" i="1"/>
  <c r="H612" i="1"/>
  <c r="H611" i="1"/>
  <c r="G234" i="1"/>
  <c r="H233" i="1"/>
  <c r="H234" i="1"/>
  <c r="F234" i="1"/>
  <c r="J227" i="1"/>
  <c r="H604" i="1"/>
  <c r="I604" i="1"/>
  <c r="F296" i="1"/>
  <c r="K304" i="1"/>
  <c r="I301" i="1"/>
  <c r="H301" i="1"/>
  <c r="G301" i="1"/>
  <c r="F301" i="1"/>
  <c r="H300" i="1"/>
  <c r="G300" i="1"/>
  <c r="F300" i="1"/>
  <c r="H296" i="1"/>
  <c r="J296" i="1"/>
  <c r="G296" i="1"/>
  <c r="I295" i="1"/>
  <c r="J307" i="1"/>
  <c r="I307" i="1"/>
  <c r="F298" i="1"/>
  <c r="I296" i="1"/>
  <c r="J288" i="1"/>
  <c r="I288" i="1"/>
  <c r="I282" i="1"/>
  <c r="H282" i="1"/>
  <c r="G282" i="1"/>
  <c r="F282" i="1"/>
  <c r="G281" i="1"/>
  <c r="F281" i="1"/>
  <c r="H279" i="1"/>
  <c r="G277" i="1"/>
  <c r="F277" i="1"/>
  <c r="J276" i="1"/>
  <c r="I276" i="1"/>
  <c r="G276" i="1"/>
  <c r="F276" i="1"/>
  <c r="K285" i="1"/>
  <c r="H281" i="1"/>
  <c r="H277" i="1"/>
  <c r="J277" i="1"/>
  <c r="I277" i="1"/>
  <c r="H208" i="1"/>
  <c r="H226" i="1"/>
  <c r="H244" i="1"/>
  <c r="K215" i="1"/>
  <c r="J209" i="1"/>
  <c r="I227" i="1"/>
  <c r="I209" i="1"/>
  <c r="H227" i="1"/>
  <c r="H209" i="1"/>
  <c r="G227" i="1"/>
  <c r="G209" i="1"/>
  <c r="F227" i="1"/>
  <c r="F209" i="1"/>
  <c r="I225" i="1"/>
  <c r="I207" i="1"/>
  <c r="H225" i="1"/>
  <c r="H207" i="1"/>
  <c r="G225" i="1"/>
  <c r="G207" i="1"/>
  <c r="F225" i="1"/>
  <c r="F207" i="1"/>
  <c r="H223" i="1"/>
  <c r="H205" i="1"/>
  <c r="H222" i="1"/>
  <c r="H204" i="1"/>
  <c r="K222" i="1"/>
  <c r="K204" i="1"/>
  <c r="J222" i="1"/>
  <c r="J204" i="1"/>
  <c r="I222" i="1"/>
  <c r="I204" i="1"/>
  <c r="G222" i="1"/>
  <c r="G204" i="1"/>
  <c r="F222" i="1"/>
  <c r="F204" i="1"/>
  <c r="G221" i="1"/>
  <c r="G203" i="1"/>
  <c r="F221" i="1"/>
  <c r="F203" i="1"/>
  <c r="I221" i="1"/>
  <c r="I203" i="1"/>
  <c r="H221" i="1"/>
  <c r="H203" i="1"/>
  <c r="K220" i="1"/>
  <c r="K202" i="1"/>
  <c r="H220" i="1"/>
  <c r="H202" i="1"/>
  <c r="G220" i="1"/>
  <c r="G202" i="1"/>
  <c r="F220" i="1"/>
  <c r="F202" i="1"/>
  <c r="H216" i="1"/>
  <c r="H198" i="1"/>
  <c r="J216" i="1"/>
  <c r="J198" i="1"/>
  <c r="I216" i="1"/>
  <c r="I198" i="1"/>
  <c r="G216" i="1"/>
  <c r="G198" i="1"/>
  <c r="F216" i="1"/>
  <c r="F198" i="1"/>
  <c r="K197" i="1"/>
  <c r="G215" i="1"/>
  <c r="G197" i="1"/>
  <c r="F215" i="1"/>
  <c r="F197" i="1"/>
  <c r="H215" i="1"/>
  <c r="H197" i="1"/>
  <c r="J225" i="1"/>
  <c r="K223" i="1"/>
  <c r="J223" i="1"/>
  <c r="I223" i="1"/>
  <c r="G223" i="1"/>
  <c r="F223" i="1"/>
  <c r="K221" i="1"/>
  <c r="J221" i="1"/>
  <c r="I220" i="1"/>
  <c r="J220" i="1"/>
  <c r="I218" i="1"/>
  <c r="G218" i="1"/>
  <c r="F218" i="1"/>
  <c r="K218" i="1"/>
  <c r="J218" i="1"/>
  <c r="H218" i="1"/>
  <c r="J215" i="1"/>
  <c r="I215" i="1"/>
  <c r="J207" i="1"/>
  <c r="K205" i="1"/>
  <c r="J205" i="1"/>
  <c r="I205" i="1"/>
  <c r="G205" i="1"/>
  <c r="F205" i="1"/>
  <c r="K203" i="1"/>
  <c r="J203" i="1"/>
  <c r="I202" i="1"/>
  <c r="J202" i="1"/>
  <c r="G200" i="1"/>
  <c r="F200" i="1"/>
  <c r="I200" i="1"/>
  <c r="H200" i="1"/>
  <c r="K198" i="1"/>
  <c r="J197" i="1"/>
  <c r="G368" i="1" l="1"/>
  <c r="F368" i="1"/>
  <c r="G359" i="1"/>
  <c r="G358" i="1"/>
  <c r="F359" i="1"/>
  <c r="F358" i="1"/>
  <c r="I359" i="1"/>
  <c r="I358" i="1"/>
  <c r="H359" i="1"/>
  <c r="J359" i="1"/>
  <c r="J358" i="1"/>
  <c r="H358" i="1"/>
  <c r="C45" i="2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E13" i="13" s="1"/>
  <c r="C13" i="13" s="1"/>
  <c r="L206" i="1"/>
  <c r="L224" i="1"/>
  <c r="L242" i="1"/>
  <c r="C19" i="10" s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C16" i="10" s="1"/>
  <c r="L239" i="1"/>
  <c r="C119" i="2" s="1"/>
  <c r="F12" i="13"/>
  <c r="G12" i="13"/>
  <c r="L205" i="1"/>
  <c r="L223" i="1"/>
  <c r="C121" i="2" s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H647" i="1" s="1"/>
  <c r="F17" i="13"/>
  <c r="G17" i="13"/>
  <c r="L251" i="1"/>
  <c r="F18" i="13"/>
  <c r="G18" i="13"/>
  <c r="L252" i="1"/>
  <c r="F19" i="13"/>
  <c r="G19" i="13"/>
  <c r="L253" i="1"/>
  <c r="C114" i="2" s="1"/>
  <c r="F29" i="13"/>
  <c r="G29" i="13"/>
  <c r="L358" i="1"/>
  <c r="D127" i="2" s="1"/>
  <c r="D128" i="2" s="1"/>
  <c r="L359" i="1"/>
  <c r="G661" i="1" s="1"/>
  <c r="L360" i="1"/>
  <c r="I367" i="1"/>
  <c r="J290" i="1"/>
  <c r="J309" i="1"/>
  <c r="J328" i="1"/>
  <c r="K290" i="1"/>
  <c r="K309" i="1"/>
  <c r="K328" i="1"/>
  <c r="L276" i="1"/>
  <c r="L277" i="1"/>
  <c r="L278" i="1"/>
  <c r="E111" i="2" s="1"/>
  <c r="L279" i="1"/>
  <c r="E112" i="2" s="1"/>
  <c r="L281" i="1"/>
  <c r="L282" i="1"/>
  <c r="L283" i="1"/>
  <c r="E120" i="2" s="1"/>
  <c r="L284" i="1"/>
  <c r="E121" i="2" s="1"/>
  <c r="L285" i="1"/>
  <c r="L286" i="1"/>
  <c r="L287" i="1"/>
  <c r="L288" i="1"/>
  <c r="E125" i="2" s="1"/>
  <c r="L295" i="1"/>
  <c r="L296" i="1"/>
  <c r="L297" i="1"/>
  <c r="L309" i="1" s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28" i="1" s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C131" i="2" s="1"/>
  <c r="L261" i="1"/>
  <c r="L341" i="1"/>
  <c r="L342" i="1"/>
  <c r="C25" i="10" s="1"/>
  <c r="L255" i="1"/>
  <c r="C130" i="2" s="1"/>
  <c r="L336" i="1"/>
  <c r="C11" i="13"/>
  <c r="C10" i="13"/>
  <c r="C9" i="13"/>
  <c r="L361" i="1"/>
  <c r="B4" i="12"/>
  <c r="B36" i="12"/>
  <c r="C36" i="12"/>
  <c r="A40" i="12" s="1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L611" i="1"/>
  <c r="F663" i="1" s="1"/>
  <c r="C40" i="10"/>
  <c r="F60" i="1"/>
  <c r="G60" i="1"/>
  <c r="H60" i="1"/>
  <c r="H112" i="1" s="1"/>
  <c r="I60" i="1"/>
  <c r="F56" i="2" s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J140" i="1" s="1"/>
  <c r="F147" i="1"/>
  <c r="C85" i="2" s="1"/>
  <c r="F162" i="1"/>
  <c r="G147" i="1"/>
  <c r="G162" i="1"/>
  <c r="H147" i="1"/>
  <c r="H162" i="1"/>
  <c r="I147" i="1"/>
  <c r="I162" i="1"/>
  <c r="C12" i="10"/>
  <c r="L250" i="1"/>
  <c r="L332" i="1"/>
  <c r="L254" i="1"/>
  <c r="L268" i="1"/>
  <c r="C26" i="10" s="1"/>
  <c r="L269" i="1"/>
  <c r="C143" i="2" s="1"/>
  <c r="L349" i="1"/>
  <c r="L350" i="1"/>
  <c r="I665" i="1"/>
  <c r="I670" i="1"/>
  <c r="G662" i="1"/>
  <c r="I669" i="1"/>
  <c r="C42" i="10"/>
  <c r="C32" i="10"/>
  <c r="L374" i="1"/>
  <c r="L375" i="1"/>
  <c r="L376" i="1"/>
  <c r="L377" i="1"/>
  <c r="F130" i="2" s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L270" i="1" s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C113" i="2"/>
  <c r="E113" i="2"/>
  <c r="D115" i="2"/>
  <c r="F115" i="2"/>
  <c r="G115" i="2"/>
  <c r="E118" i="2"/>
  <c r="E119" i="2"/>
  <c r="C122" i="2"/>
  <c r="E122" i="2"/>
  <c r="E123" i="2"/>
  <c r="E124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I51" i="1"/>
  <c r="F177" i="1"/>
  <c r="F192" i="1" s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I369" i="1" s="1"/>
  <c r="H634" i="1" s="1"/>
  <c r="J634" i="1" s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645" i="1" s="1"/>
  <c r="J645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H461" i="1" s="1"/>
  <c r="H641" i="1" s="1"/>
  <c r="J641" i="1" s="1"/>
  <c r="I452" i="1"/>
  <c r="I461" i="1" s="1"/>
  <c r="H642" i="1" s="1"/>
  <c r="F460" i="1"/>
  <c r="G460" i="1"/>
  <c r="G461" i="1" s="1"/>
  <c r="H640" i="1" s="1"/>
  <c r="H460" i="1"/>
  <c r="I460" i="1"/>
  <c r="F461" i="1"/>
  <c r="H639" i="1" s="1"/>
  <c r="F470" i="1"/>
  <c r="F476" i="1" s="1"/>
  <c r="H622" i="1" s="1"/>
  <c r="G470" i="1"/>
  <c r="H470" i="1"/>
  <c r="I470" i="1"/>
  <c r="I476" i="1" s="1"/>
  <c r="H625" i="1" s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I545" i="1" s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F571" i="1" s="1"/>
  <c r="G560" i="1"/>
  <c r="H560" i="1"/>
  <c r="I560" i="1"/>
  <c r="J560" i="1"/>
  <c r="K560" i="1"/>
  <c r="K571" i="1" s="1"/>
  <c r="L562" i="1"/>
  <c r="L563" i="1"/>
  <c r="L564" i="1"/>
  <c r="L565" i="1" s="1"/>
  <c r="F565" i="1"/>
  <c r="G565" i="1"/>
  <c r="H565" i="1"/>
  <c r="I565" i="1"/>
  <c r="J565" i="1"/>
  <c r="K565" i="1"/>
  <c r="L567" i="1"/>
  <c r="L568" i="1"/>
  <c r="L570" i="1" s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1" i="1"/>
  <c r="G643" i="1"/>
  <c r="J643" i="1" s="1"/>
  <c r="G644" i="1"/>
  <c r="G645" i="1"/>
  <c r="G649" i="1"/>
  <c r="G650" i="1"/>
  <c r="G652" i="1"/>
  <c r="H652" i="1"/>
  <c r="G653" i="1"/>
  <c r="H653" i="1"/>
  <c r="G654" i="1"/>
  <c r="H654" i="1"/>
  <c r="H655" i="1"/>
  <c r="I257" i="1"/>
  <c r="I271" i="1" s="1"/>
  <c r="E8" i="13"/>
  <c r="C8" i="13" s="1"/>
  <c r="J571" i="1"/>
  <c r="I169" i="1"/>
  <c r="H476" i="1"/>
  <c r="H624" i="1" s="1"/>
  <c r="J624" i="1" s="1"/>
  <c r="G476" i="1"/>
  <c r="H623" i="1" s="1"/>
  <c r="J623" i="1" s="1"/>
  <c r="F169" i="1"/>
  <c r="G22" i="2"/>
  <c r="F22" i="13"/>
  <c r="C22" i="13" s="1"/>
  <c r="J545" i="1"/>
  <c r="H338" i="1"/>
  <c r="H352" i="1" s="1"/>
  <c r="H192" i="1"/>
  <c r="G36" i="2"/>
  <c r="K551" i="1" l="1"/>
  <c r="J552" i="1"/>
  <c r="D145" i="2"/>
  <c r="C29" i="10"/>
  <c r="L544" i="1"/>
  <c r="K500" i="1"/>
  <c r="I52" i="1"/>
  <c r="H620" i="1" s="1"/>
  <c r="D15" i="13"/>
  <c r="C15" i="13" s="1"/>
  <c r="C35" i="10"/>
  <c r="C36" i="10" s="1"/>
  <c r="H25" i="13"/>
  <c r="C25" i="13" s="1"/>
  <c r="G651" i="1"/>
  <c r="G625" i="1"/>
  <c r="J625" i="1" s="1"/>
  <c r="J651" i="1"/>
  <c r="L524" i="1"/>
  <c r="K338" i="1"/>
  <c r="D62" i="2"/>
  <c r="E56" i="2"/>
  <c r="E132" i="2"/>
  <c r="H662" i="1"/>
  <c r="F661" i="1"/>
  <c r="L351" i="1"/>
  <c r="H169" i="1"/>
  <c r="H193" i="1" s="1"/>
  <c r="G629" i="1" s="1"/>
  <c r="J629" i="1" s="1"/>
  <c r="C21" i="10"/>
  <c r="H661" i="1"/>
  <c r="E16" i="13"/>
  <c r="E33" i="13" s="1"/>
  <c r="D35" i="13" s="1"/>
  <c r="L614" i="1"/>
  <c r="K503" i="1"/>
  <c r="H52" i="1"/>
  <c r="H619" i="1" s="1"/>
  <c r="G62" i="2"/>
  <c r="G63" i="2" s="1"/>
  <c r="D50" i="2"/>
  <c r="E103" i="2"/>
  <c r="E31" i="2"/>
  <c r="D18" i="2"/>
  <c r="D19" i="13"/>
  <c r="C19" i="13" s="1"/>
  <c r="D18" i="13"/>
  <c r="C18" i="13" s="1"/>
  <c r="G81" i="2"/>
  <c r="D81" i="2"/>
  <c r="E78" i="2"/>
  <c r="E81" i="2" s="1"/>
  <c r="F78" i="2"/>
  <c r="F81" i="2" s="1"/>
  <c r="D17" i="13"/>
  <c r="C17" i="13" s="1"/>
  <c r="K550" i="1"/>
  <c r="F552" i="1"/>
  <c r="L534" i="1"/>
  <c r="K549" i="1"/>
  <c r="G545" i="1"/>
  <c r="L529" i="1"/>
  <c r="H545" i="1"/>
  <c r="I571" i="1"/>
  <c r="G161" i="2"/>
  <c r="G164" i="2"/>
  <c r="D31" i="2"/>
  <c r="J640" i="1"/>
  <c r="J639" i="1"/>
  <c r="H408" i="1"/>
  <c r="H644" i="1" s="1"/>
  <c r="J644" i="1" s="1"/>
  <c r="K352" i="1"/>
  <c r="L247" i="1"/>
  <c r="H660" i="1" s="1"/>
  <c r="H664" i="1" s="1"/>
  <c r="H672" i="1" s="1"/>
  <c r="C6" i="10" s="1"/>
  <c r="C109" i="2"/>
  <c r="C10" i="10"/>
  <c r="D5" i="13"/>
  <c r="C5" i="13" s="1"/>
  <c r="C125" i="2"/>
  <c r="C17" i="10"/>
  <c r="G338" i="1"/>
  <c r="G352" i="1" s="1"/>
  <c r="E110" i="2"/>
  <c r="E115" i="2" s="1"/>
  <c r="C13" i="10"/>
  <c r="L290" i="1"/>
  <c r="K598" i="1"/>
  <c r="G647" i="1" s="1"/>
  <c r="C124" i="2"/>
  <c r="F662" i="1"/>
  <c r="I662" i="1" s="1"/>
  <c r="J647" i="1"/>
  <c r="J649" i="1"/>
  <c r="J257" i="1"/>
  <c r="J271" i="1" s="1"/>
  <c r="G257" i="1"/>
  <c r="G271" i="1" s="1"/>
  <c r="C20" i="10"/>
  <c r="C110" i="2"/>
  <c r="H257" i="1"/>
  <c r="H271" i="1" s="1"/>
  <c r="C18" i="10"/>
  <c r="D7" i="13"/>
  <c r="C7" i="13" s="1"/>
  <c r="C112" i="2"/>
  <c r="L229" i="1"/>
  <c r="G660" i="1" s="1"/>
  <c r="G664" i="1" s="1"/>
  <c r="G672" i="1" s="1"/>
  <c r="C5" i="10" s="1"/>
  <c r="A31" i="12"/>
  <c r="C11" i="10"/>
  <c r="F257" i="1"/>
  <c r="F271" i="1" s="1"/>
  <c r="D14" i="13"/>
  <c r="C14" i="13" s="1"/>
  <c r="D12" i="13"/>
  <c r="C12" i="13" s="1"/>
  <c r="L211" i="1"/>
  <c r="C118" i="2"/>
  <c r="C15" i="10"/>
  <c r="D6" i="13"/>
  <c r="C6" i="13" s="1"/>
  <c r="A13" i="12"/>
  <c r="L362" i="1"/>
  <c r="D29" i="13"/>
  <c r="C29" i="13" s="1"/>
  <c r="D91" i="2"/>
  <c r="C78" i="2"/>
  <c r="F112" i="1"/>
  <c r="J622" i="1"/>
  <c r="J617" i="1"/>
  <c r="C91" i="2"/>
  <c r="E62" i="2"/>
  <c r="F18" i="2"/>
  <c r="C18" i="2"/>
  <c r="C70" i="2"/>
  <c r="G157" i="2"/>
  <c r="G156" i="2"/>
  <c r="E128" i="2"/>
  <c r="D63" i="2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F193" i="1" s="1"/>
  <c r="G627" i="1" s="1"/>
  <c r="J627" i="1" s="1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I140" i="1"/>
  <c r="A22" i="12"/>
  <c r="H646" i="1"/>
  <c r="G50" i="2"/>
  <c r="G51" i="2" s="1"/>
  <c r="J652" i="1"/>
  <c r="J642" i="1"/>
  <c r="G571" i="1"/>
  <c r="I434" i="1"/>
  <c r="G434" i="1"/>
  <c r="I663" i="1"/>
  <c r="C27" i="10"/>
  <c r="G635" i="1"/>
  <c r="J635" i="1" s="1"/>
  <c r="C16" i="13" l="1"/>
  <c r="E63" i="2"/>
  <c r="K552" i="1"/>
  <c r="I661" i="1"/>
  <c r="I193" i="1"/>
  <c r="G630" i="1" s="1"/>
  <c r="J630" i="1" s="1"/>
  <c r="H33" i="13"/>
  <c r="D51" i="2"/>
  <c r="E104" i="2"/>
  <c r="G104" i="2"/>
  <c r="F104" i="2"/>
  <c r="D104" i="2"/>
  <c r="C128" i="2"/>
  <c r="L545" i="1"/>
  <c r="H667" i="1"/>
  <c r="L338" i="1"/>
  <c r="L352" i="1" s="1"/>
  <c r="G633" i="1" s="1"/>
  <c r="J633" i="1" s="1"/>
  <c r="E145" i="2"/>
  <c r="H648" i="1"/>
  <c r="J648" i="1" s="1"/>
  <c r="C115" i="2"/>
  <c r="L257" i="1"/>
  <c r="L271" i="1" s="1"/>
  <c r="G632" i="1" s="1"/>
  <c r="J632" i="1" s="1"/>
  <c r="C28" i="10"/>
  <c r="D23" i="10" s="1"/>
  <c r="F660" i="1"/>
  <c r="F664" i="1" s="1"/>
  <c r="F672" i="1" s="1"/>
  <c r="C4" i="10" s="1"/>
  <c r="G667" i="1"/>
  <c r="C81" i="2"/>
  <c r="C104" i="2" s="1"/>
  <c r="D31" i="13"/>
  <c r="C31" i="13" s="1"/>
  <c r="F51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D20" i="10"/>
  <c r="D10" i="10"/>
  <c r="D27" i="10"/>
  <c r="D13" i="10"/>
  <c r="D15" i="10"/>
  <c r="D26" i="10"/>
  <c r="C30" i="10"/>
  <c r="D17" i="10"/>
  <c r="D18" i="10"/>
  <c r="D11" i="10"/>
  <c r="D25" i="10"/>
  <c r="D12" i="10"/>
  <c r="D21" i="10"/>
  <c r="D19" i="10"/>
  <c r="D16" i="10"/>
  <c r="D24" i="10"/>
  <c r="D22" i="10"/>
  <c r="I660" i="1"/>
  <c r="I664" i="1" s="1"/>
  <c r="I672" i="1" s="1"/>
  <c r="C7" i="10" s="1"/>
  <c r="F667" i="1"/>
  <c r="D33" i="13"/>
  <c r="D36" i="13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<sst xmlns="http://schemas.openxmlformats.org/spreadsheetml/2006/main" count="3956" uniqueCount="914">
  <si>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</si>
  <si>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</si>
  <si>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</si>
  <si>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</si>
  <si>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</si>
  <si>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</si>
  <si>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</si>
  <si>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</si>
  <si>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</si>
  <si>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</si>
  <si>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</si>
  <si>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</si>
  <si>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</si>
  <si>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</si>
  <si>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</si>
  <si>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</si>
  <si>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</si>
  <si>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</si>
  <si>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</si>
  <si>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</si>
  <si>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</si>
  <si>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</si>
  <si>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</si>
  <si>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</si>
  <si>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</si>
  <si>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</si>
  <si>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</si>
  <si>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</si>
  <si>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</si>
  <si>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</si>
  <si>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</si>
  <si>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</si>
  <si>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</si>
  <si>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</si>
  <si>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</si>
  <si>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</si>
  <si>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</si>
  <si>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</si>
  <si>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</si>
  <si>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</si>
  <si>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</si>
  <si>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</si>
  <si>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</si>
  <si>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</si>
  <si>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</si>
  <si>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</si>
  <si>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</si>
  <si>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</si>
  <si>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</si>
  <si>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</si>
  <si>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</si>
  <si>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</si>
  <si>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</si>
  <si>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</si>
  <si>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</si>
  <si>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</si>
  <si>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</si>
  <si>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</si>
  <si>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</si>
  <si>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</si>
  <si>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</si>
  <si>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</si>
  <si>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</si>
  <si>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</si>
  <si>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</si>
  <si>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</si>
  <si>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</si>
  <si>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</si>
  <si>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</si>
  <si>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</si>
  <si>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</si>
  <si>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</si>
  <si>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</si>
  <si>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</si>
  <si>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</si>
  <si>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</si>
  <si>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</si>
  <si>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</si>
  <si>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</si>
  <si>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</si>
  <si>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</si>
  <si>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</si>
  <si>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</si>
  <si>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</si>
  <si>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</si>
  <si>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</si>
  <si>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</si>
  <si>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</si>
  <si>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</si>
  <si>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</si>
  <si>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</si>
  <si>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</si>
  <si>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</si>
  <si>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</si>
  <si>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</si>
  <si>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</si>
  <si>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</si>
  <si>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</si>
  <si>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</si>
  <si>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</si>
  <si>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</si>
  <si>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</si>
  <si>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</si>
  <si>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</si>
  <si>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</si>
  <si>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</si>
  <si>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</si>
  <si>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</si>
  <si>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</si>
  <si>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</si>
  <si>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</si>
  <si>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</si>
  <si>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</si>
  <si>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</si>
  <si>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</si>
  <si>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</si>
  <si>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</si>
  <si>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</si>
  <si>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</si>
  <si>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</si>
  <si>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</si>
  <si>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</si>
  <si>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</si>
  <si>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</si>
  <si>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</si>
  <si>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</si>
  <si>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</si>
  <si>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</si>
  <si>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</si>
  <si>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</si>
  <si>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</si>
  <si>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</si>
  <si>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</si>
  <si>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</si>
  <si>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</si>
  <si>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</si>
  <si>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</si>
  <si>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</si>
  <si>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</si>
  <si>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</si>
  <si>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</si>
  <si>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</si>
  <si>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</si>
  <si>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</si>
  <si>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</si>
  <si>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</si>
  <si>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</si>
  <si>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</si>
  <si>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</si>
  <si>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</si>
  <si>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</si>
  <si>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</si>
  <si>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</si>
  <si>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</si>
  <si>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</si>
  <si>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</si>
  <si>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</si>
  <si>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</si>
  <si>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</si>
  <si>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</si>
  <si>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</si>
  <si>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</si>
  <si>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</si>
  <si>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</si>
  <si>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</si>
  <si>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</si>
  <si>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</si>
  <si>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</si>
  <si>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</si>
  <si>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</si>
  <si>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</si>
  <si>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</si>
  <si>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</si>
  <si>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</si>
  <si>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</si>
  <si>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</si>
  <si>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</si>
  <si>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</si>
  <si>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</si>
  <si>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</si>
  <si>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</si>
  <si>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</si>
  <si>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</si>
  <si>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</si>
  <si>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</si>
  <si>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</si>
  <si>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</si>
  <si>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</si>
  <si>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</si>
  <si>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</si>
  <si>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</si>
  <si>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</si>
  <si>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</si>
  <si>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</si>
  <si>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</si>
  <si>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</si>
  <si>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</si>
  <si>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</si>
  <si>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</si>
  <si>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</si>
  <si>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</si>
  <si>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</si>
  <si>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</si>
  <si>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</si>
  <si>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</si>
  <si>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</si>
  <si>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</si>
  <si>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</si>
  <si>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</si>
  <si>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</si>
  <si>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</si>
  <si>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</si>
  <si>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</si>
  <si>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</si>
  <si>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</si>
  <si>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</si>
  <si>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</si>
  <si>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</si>
  <si>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</si>
  <si>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</si>
  <si>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</si>
  <si>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</si>
  <si>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</si>
  <si>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</si>
  <si>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</si>
  <si>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</si>
  <si>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</si>
  <si>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</si>
  <si>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</si>
  <si>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</si>
  <si>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</si>
  <si>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</si>
  <si>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</si>
  <si>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</si>
  <si>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</si>
  <si>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</si>
  <si>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</si>
  <si>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</si>
  <si>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</si>
  <si>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</si>
  <si>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</si>
  <si>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</si>
  <si>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</si>
  <si>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</si>
  <si>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</si>
  <si>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</si>
  <si>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</si>
  <si>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</si>
  <si>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</si>
  <si>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</si>
  <si>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</si>
  <si>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</si>
  <si>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</si>
  <si>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</si>
  <si>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</si>
  <si>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</si>
  <si>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</si>
  <si>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</si>
  <si>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</si>
  <si>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</si>
  <si>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</si>
  <si>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</si>
  <si>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</si>
  <si>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</si>
  <si>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</si>
  <si>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</si>
  <si>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</si>
  <si>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</si>
  <si>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</si>
  <si>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</si>
  <si>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</si>
  <si>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</si>
  <si>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</si>
  <si>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</si>
  <si>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</si>
  <si>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</si>
  <si>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</si>
  <si>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</si>
  <si>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</si>
  <si>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</si>
  <si>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</si>
  <si>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</si>
  <si>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</si>
  <si>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</si>
  <si>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</si>
  <si>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</si>
  <si>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</si>
  <si>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</si>
  <si>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</si>
  <si>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</si>
  <si>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</si>
  <si>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</si>
  <si>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</si>
  <si>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</si>
  <si>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</si>
  <si>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</si>
  <si>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</si>
  <si>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</si>
  <si>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</si>
  <si>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</si>
  <si>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</si>
  <si>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</si>
  <si>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</si>
  <si>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</si>
  <si>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</si>
  <si>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</si>
  <si>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</si>
  <si>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</si>
  <si>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</si>
  <si>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</si>
  <si>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</si>
  <si>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</si>
  <si>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</si>
  <si>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</si>
  <si>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</si>
  <si>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</si>
  <si>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</si>
  <si>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</si>
  <si>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</si>
  <si>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</si>
  <si>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</si>
  <si>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</si>
  <si>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</si>
  <si>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</si>
  <si>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</si>
  <si>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</si>
  <si>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</si>
  <si>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</si>
  <si>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</si>
  <si>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</si>
  <si>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</si>
  <si>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</si>
  <si>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</si>
  <si>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</si>
  <si>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</si>
  <si>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</si>
  <si>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</si>
  <si>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</si>
  <si>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</si>
  <si>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</si>
  <si>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</si>
  <si>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</si>
  <si>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</si>
  <si>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</si>
  <si>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</si>
  <si>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</si>
  <si>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</si>
  <si>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</si>
  <si>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</si>
  <si>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</si>
  <si>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</si>
  <si>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</si>
  <si>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</si>
  <si>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</si>
  <si>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</si>
  <si>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</si>
  <si>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</si>
  <si>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</si>
  <si>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</si>
  <si>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</si>
  <si>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</si>
  <si>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</si>
  <si>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</si>
  <si>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</si>
  <si>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</si>
  <si>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</si>
  <si>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</si>
  <si>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</si>
  <si>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</si>
  <si>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</si>
  <si>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</si>
  <si>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</si>
  <si>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</si>
  <si>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</si>
  <si>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</si>
  <si>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</si>
  <si>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</si>
  <si>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</si>
  <si>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</si>
  <si>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</si>
  <si>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</si>
  <si>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</si>
  <si>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</si>
  <si>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</si>
  <si>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</si>
  <si>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</si>
  <si>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</si>
  <si>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</si>
  <si>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</si>
  <si>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</si>
  <si>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</si>
  <si>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</si>
  <si>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</si>
  <si>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</si>
  <si>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</si>
  <si>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</si>
  <si>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</si>
  <si>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</si>
  <si>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</si>
  <si>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</si>
  <si>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</si>
  <si>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</si>
  <si>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</si>
  <si>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</si>
  <si>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</si>
  <si>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</si>
  <si>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</si>
  <si>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</si>
  <si>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</si>
  <si>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</si>
  <si>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</si>
  <si>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</si>
  <si>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</si>
  <si>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</si>
  <si>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</si>
  <si>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</si>
  <si>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</si>
  <si>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</si>
  <si>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</si>
  <si>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</si>
  <si>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</si>
  <si>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</si>
  <si>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</si>
  <si>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</si>
  <si>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</si>
  <si>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</si>
  <si>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</si>
  <si>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</si>
  <si>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</si>
  <si>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</si>
  <si>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</si>
  <si>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</si>
  <si>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</si>
  <si>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</si>
  <si>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</si>
  <si>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</si>
  <si>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</si>
  <si>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</si>
  <si>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</si>
  <si>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</si>
  <si>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</si>
  <si>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</si>
  <si>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</si>
  <si>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</si>
  <si>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</si>
  <si>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</si>
  <si>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</si>
  <si>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</si>
  <si>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</si>
  <si>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</si>
  <si>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</si>
  <si>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</si>
  <si>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</si>
  <si>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</si>
  <si>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</si>
  <si>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</si>
  <si>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</si>
  <si>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</si>
  <si>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</si>
  <si>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</si>
  <si>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</si>
  <si>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</si>
  <si>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</si>
  <si>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</si>
  <si>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</si>
  <si>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</si>
  <si>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</si>
  <si>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</si>
  <si>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</si>
  <si>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</si>
  <si>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</si>
  <si>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</si>
  <si>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</si>
  <si>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</si>
  <si>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</si>
  <si>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</si>
  <si>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</si>
  <si>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</si>
  <si>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</si>
  <si>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</si>
  <si>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</si>
  <si>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</si>
  <si>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</si>
  <si>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</si>
  <si>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</si>
  <si>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</si>
  <si>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</si>
  <si>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</si>
  <si>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</si>
  <si>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</si>
  <si>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</si>
  <si>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</si>
  <si>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</si>
  <si>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</si>
  <si>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</si>
  <si>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</si>
  <si>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</si>
  <si>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</si>
  <si>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</si>
  <si>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</si>
  <si>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</si>
  <si>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</si>
  <si>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</si>
  <si>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</si>
  <si>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</si>
  <si>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</si>
  <si>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</si>
  <si>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</si>
  <si>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</si>
  <si>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</si>
  <si>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</si>
  <si>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</si>
  <si>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</si>
  <si>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</si>
  <si>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</si>
  <si>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</si>
  <si>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</si>
  <si>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</si>
  <si>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</si>
  <si>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</si>
  <si>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</si>
  <si>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</si>
  <si>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</si>
  <si>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</si>
  <si>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</si>
  <si>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</si>
  <si>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</si>
  <si>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</si>
  <si>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</si>
  <si>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</si>
  <si>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</si>
  <si>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</si>
  <si>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</si>
  <si>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</si>
  <si>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</si>
  <si>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</si>
  <si>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</si>
  <si>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</si>
  <si>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</si>
  <si>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</si>
  <si>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</si>
  <si>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</si>
  <si>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</si>
  <si>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</si>
  <si>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</si>
  <si>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</si>
  <si>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</si>
  <si>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</si>
  <si>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</si>
  <si>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</si>
  <si>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</si>
  <si>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</si>
  <si>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</si>
  <si>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</si>
  <si>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</si>
  <si>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</si>
  <si>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</si>
  <si>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</si>
  <si>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</si>
  <si>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</si>
  <si>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</si>
  <si>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</si>
  <si>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</si>
  <si>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</si>
  <si>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</si>
  <si>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</si>
  <si>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</si>
  <si>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</si>
  <si>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</si>
  <si>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</si>
  <si>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</si>
  <si>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</si>
  <si>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</si>
  <si>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</si>
  <si>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</si>
  <si>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</si>
  <si>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</si>
  <si>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</si>
  <si>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</si>
  <si>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</si>
  <si>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</si>
  <si>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</si>
  <si>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</si>
  <si>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</si>
  <si>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</si>
  <si>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</si>
  <si>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</si>
  <si>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</si>
  <si>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</si>
  <si>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</si>
  <si>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</si>
  <si>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</si>
  <si>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</si>
  <si>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</si>
  <si>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</si>
  <si>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</si>
  <si>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</si>
  <si>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</si>
  <si>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</si>
  <si>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</si>
  <si>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</si>
  <si>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</si>
  <si>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</si>
  <si>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</si>
  <si>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</si>
  <si>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</si>
  <si>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</si>
  <si>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</si>
  <si>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</si>
  <si>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</si>
  <si>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</si>
  <si>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</si>
  <si>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</si>
  <si>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</si>
  <si>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</si>
  <si>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</si>
  <si>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</si>
  <si>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</si>
  <si>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</si>
  <si>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</si>
  <si>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</si>
  <si>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</si>
  <si>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</si>
  <si>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</si>
  <si>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</si>
  <si>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</si>
  <si>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</si>
  <si>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</si>
  <si>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</si>
  <si>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</si>
  <si>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</si>
  <si>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</si>
  <si>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</si>
  <si>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</si>
  <si>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</si>
  <si>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</si>
  <si>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</si>
  <si>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</si>
  <si>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</si>
  <si>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</si>
  <si>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</si>
  <si>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</si>
  <si>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</si>
  <si>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</si>
  <si>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</si>
  <si>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</si>
  <si>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</si>
  <si>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</si>
  <si>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</si>
  <si>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</si>
  <si>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</si>
  <si>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</si>
  <si>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</si>
  <si>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</si>
  <si>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</si>
  <si>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</si>
  <si>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</si>
  <si>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</si>
  <si>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</si>
  <si>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</si>
  <si>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</si>
  <si>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</si>
  <si>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</si>
  <si>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</si>
  <si>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</si>
  <si>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</si>
  <si>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</si>
  <si>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</si>
  <si>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</si>
  <si>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</si>
  <si>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</si>
  <si>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</si>
  <si>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</si>
  <si>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</si>
  <si>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</si>
  <si>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</si>
  <si>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</si>
  <si>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</si>
  <si>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</si>
  <si>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</si>
  <si>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</si>
  <si>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</si>
  <si>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</si>
  <si>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</si>
  <si>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</si>
  <si>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</si>
  <si>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</si>
  <si>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</si>
  <si>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</si>
  <si>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</si>
  <si>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</si>
  <si>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</si>
  <si>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</si>
  <si>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</si>
  <si>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</si>
  <si>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</si>
  <si>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</si>
  <si>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</si>
  <si>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</si>
  <si>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</si>
  <si>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</si>
  <si>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</si>
  <si>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</si>
  <si>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</si>
  <si>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</si>
  <si>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</si>
  <si>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</si>
  <si>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</si>
  <si>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</si>
  <si>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</si>
  <si>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</si>
  <si>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</si>
  <si>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</si>
  <si>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</si>
  <si>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</si>
  <si>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</si>
  <si>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</si>
  <si>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</si>
  <si>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</si>
  <si>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</si>
  <si>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</si>
  <si>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</si>
  <si>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</si>
  <si>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</si>
  <si>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</si>
  <si>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</si>
  <si>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</si>
  <si>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</si>
  <si>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</si>
  <si>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</si>
  <si>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</si>
  <si>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</si>
  <si>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</si>
  <si>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</si>
  <si>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</si>
  <si>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</si>
  <si>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</si>
  <si>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</si>
  <si>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</si>
  <si>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</si>
  <si>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</si>
  <si>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</si>
  <si>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</si>
  <si>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</si>
  <si>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</si>
  <si>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</si>
  <si>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</si>
  <si>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</si>
  <si>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</si>
  <si>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</si>
  <si>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</si>
  <si>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</si>
  <si>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</si>
  <si>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</si>
  <si>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</si>
  <si>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</si>
  <si>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</si>
  <si>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</si>
  <si>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</si>
  <si>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</si>
  <si>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</si>
  <si>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</si>
  <si>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</si>
  <si>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</si>
  <si>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</si>
  <si>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</si>
  <si>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</si>
  <si>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</si>
  <si>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</si>
  <si>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</si>
  <si>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</si>
  <si>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</si>
  <si>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</si>
  <si>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</si>
  <si>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</si>
  <si>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</si>
  <si>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</si>
  <si>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</si>
  <si>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</si>
  <si>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</si>
  <si>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</si>
  <si>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</si>
  <si>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</si>
  <si>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</si>
  <si>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</si>
  <si>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</si>
  <si>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</si>
  <si>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</si>
  <si>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</si>
  <si>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</si>
  <si>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</si>
  <si>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</si>
  <si>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</si>
  <si>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</si>
  <si>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</si>
  <si>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</si>
  <si>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</si>
  <si>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</si>
  <si>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</si>
  <si>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</si>
  <si>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</si>
  <si>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</si>
  <si>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</si>
  <si>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</si>
  <si>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</si>
  <si>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</si>
  <si>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</si>
  <si>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</si>
  <si>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</si>
  <si>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</si>
  <si>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</si>
  <si>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</si>
  <si>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</si>
  <si>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</si>
  <si>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</si>
  <si>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</si>
  <si>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</si>
  <si>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</si>
  <si>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</si>
  <si>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</si>
  <si>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</si>
  <si>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</si>
  <si>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</si>
  <si>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</si>
  <si>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</si>
  <si>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</si>
  <si>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</si>
  <si>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</si>
  <si>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</si>
  <si>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</si>
  <si>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</si>
  <si>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</si>
  <si>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</si>
  <si>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</si>
  <si>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</si>
  <si>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</si>
  <si>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</si>
  <si>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</si>
  <si>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</si>
  <si>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</si>
  <si>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</si>
  <si>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</si>
  <si>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</si>
  <si>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</si>
  <si>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</si>
  <si>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</si>
  <si>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</si>
  <si>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</si>
  <si>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</si>
  <si>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</si>
  <si>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</si>
  <si>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</si>
  <si>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</si>
  <si>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</si>
  <si>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</si>
  <si>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</si>
  <si>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</si>
  <si>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</si>
  <si>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</si>
  <si>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</si>
  <si>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</si>
  <si>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</si>
  <si>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</si>
  <si>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</si>
  <si>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</si>
  <si>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</si>
  <si>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</si>
  <si>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</si>
  <si>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</si>
  <si>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</si>
  <si>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</si>
  <si>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</si>
  <si>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</si>
  <si>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</si>
  <si>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</si>
  <si>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</si>
  <si>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</si>
  <si>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</si>
  <si>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</si>
  <si>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</si>
  <si>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</si>
  <si>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</si>
  <si>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</si>
  <si>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</si>
  <si>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</si>
  <si>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</si>
  <si>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</si>
  <si>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</si>
  <si>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</si>
  <si>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</si>
  <si>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</si>
  <si>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</si>
  <si>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</si>
  <si>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</si>
  <si>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</si>
  <si>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</si>
  <si>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</si>
  <si>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</si>
  <si>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</si>
  <si>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</si>
  <si>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</si>
  <si>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</si>
  <si>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</si>
  <si>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</si>
  <si>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</si>
  <si>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</si>
  <si>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</si>
  <si>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</si>
  <si>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</si>
  <si>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</si>
  <si>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</si>
  <si>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Hooksett School District</t>
  </si>
  <si>
    <t>05/02</t>
  </si>
  <si>
    <t>07/22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</si>
</sst>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0" fontId="2" fillId="0" borderId="0" xfId="0" applyNumberFormat="1" applyFont="1" applyProtection="1"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29" activePane="bottomRight" state="frozen"/>
      <selection pane="topRight" activeCell="F1" sqref="F1"/>
      <selection pane="bottomLeft" activeCell="A4" sqref="A4"/>
      <selection pane="bottomRight" activeCell="H541" sqref="H541:H54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261</v>
      </c>
      <c r="C2" s="21">
        <v>261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960691.39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67135.520000000004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12459.92</v>
      </c>
      <c r="G13" s="18">
        <v>14443.21</v>
      </c>
      <c r="H13" s="18">
        <v>70730.33</v>
      </c>
      <c r="I13" s="18"/>
      <c r="J13" s="67">
        <f>SUM(I442)</f>
        <v>331290.03000000003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774.8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1041061.6300000001</v>
      </c>
      <c r="G19" s="41">
        <f>SUM(G9:G18)</f>
        <v>14443.21</v>
      </c>
      <c r="H19" s="41">
        <f>SUM(H9:H18)</f>
        <v>70730.33</v>
      </c>
      <c r="I19" s="41">
        <f>SUM(I9:I18)</f>
        <v>0</v>
      </c>
      <c r="J19" s="41">
        <f>SUM(J9:J18)</f>
        <v>331290.03000000003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685.97</v>
      </c>
      <c r="H22" s="18">
        <v>66449.55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585715.46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162489.42000000001</v>
      </c>
      <c r="G24" s="18">
        <v>1139.95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37435.629999999997</v>
      </c>
      <c r="G28" s="18">
        <v>1723.29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-90.91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10894</v>
      </c>
      <c r="H30" s="18">
        <v>4280.78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785549.6</v>
      </c>
      <c r="G32" s="41">
        <f>SUM(G22:G31)</f>
        <v>14443.21</v>
      </c>
      <c r="H32" s="41">
        <f>SUM(H22:H31)</f>
        <v>70730.33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331290.03000000003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21006.15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234505.88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255512.03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331290.03000000003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1041061.63</v>
      </c>
      <c r="G52" s="41">
        <f>G51+G32</f>
        <v>14443.21</v>
      </c>
      <c r="H52" s="41">
        <f>H51+H32</f>
        <v>70730.33</v>
      </c>
      <c r="I52" s="41">
        <f>I51+I32</f>
        <v>0</v>
      </c>
      <c r="J52" s="41">
        <f>J51+J32</f>
        <v>331290.03000000003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17796430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250511.3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18046941.300000001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16753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2170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8295.7000000000007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27218.7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16616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16616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365.43</v>
      </c>
      <c r="G96" s="18"/>
      <c r="H96" s="18"/>
      <c r="I96" s="18"/>
      <c r="J96" s="18">
        <v>1091.21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320549.68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20551.5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8541.07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22982.43</v>
      </c>
      <c r="G109" s="18">
        <v>1697.22</v>
      </c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217.51</v>
      </c>
      <c r="G110" s="18"/>
      <c r="H110" s="18">
        <v>2000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44116.87</v>
      </c>
      <c r="G111" s="41">
        <f>SUM(G96:G110)</f>
        <v>322246.89999999997</v>
      </c>
      <c r="H111" s="41">
        <f>SUM(H96:H110)</f>
        <v>10541.07</v>
      </c>
      <c r="I111" s="41">
        <f>SUM(I96:I110)</f>
        <v>0</v>
      </c>
      <c r="J111" s="41">
        <f>SUM(J96:J110)</f>
        <v>1091.21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18134892.870000001</v>
      </c>
      <c r="G112" s="41">
        <f>G60+G111</f>
        <v>322246.89999999997</v>
      </c>
      <c r="H112" s="41">
        <f>H60+H79+H94+H111</f>
        <v>10541.07</v>
      </c>
      <c r="I112" s="41">
        <f>I60+I111</f>
        <v>0</v>
      </c>
      <c r="J112" s="41">
        <f>J60+J111</f>
        <v>1091.21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3319907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3582357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6902264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330172.46000000002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291300.64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7542.42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621473.10000000009</v>
      </c>
      <c r="G136" s="41">
        <f>SUM(G123:G135)</f>
        <v>7542.42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>
        <v>2975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7523737.0999999996</v>
      </c>
      <c r="G140" s="41">
        <f>G121+SUM(G136:G137)</f>
        <v>7542.42</v>
      </c>
      <c r="H140" s="41">
        <f>H121+SUM(H136:H139)</f>
        <v>2975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103538.76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38975.75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172289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314930.32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185962.82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185962.82</v>
      </c>
      <c r="G162" s="41">
        <f>SUM(G150:G161)</f>
        <v>172289</v>
      </c>
      <c r="H162" s="41">
        <f>SUM(H150:H161)</f>
        <v>457444.83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185962.82</v>
      </c>
      <c r="G169" s="41">
        <f>G147+G162+SUM(G163:G168)</f>
        <v>172289</v>
      </c>
      <c r="H169" s="41">
        <f>H147+H162+SUM(H163:H168)</f>
        <v>457444.83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78959.320000000007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78959.320000000007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78959.320000000007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25844592.789999999</v>
      </c>
      <c r="G193" s="47">
        <f>G112+G140+G169+G192</f>
        <v>581037.6399999999</v>
      </c>
      <c r="H193" s="47">
        <f>H112+H140+H169+H192</f>
        <v>470960.9</v>
      </c>
      <c r="I193" s="47">
        <f>I112+I140+I169+I192</f>
        <v>0</v>
      </c>
      <c r="J193" s="47">
        <f>J112+J140+J192</f>
        <v>1091.21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2964419.22+50954.16</f>
        <v>3015373.3800000004</v>
      </c>
      <c r="G197" s="18">
        <f>1583574.16+56854.22</f>
        <v>1640428.38</v>
      </c>
      <c r="H197" s="18">
        <f>600+32326.33</f>
        <v>32926.33</v>
      </c>
      <c r="I197" s="18">
        <f>292798.98</f>
        <v>292798.98</v>
      </c>
      <c r="J197" s="18">
        <f>8390.78</f>
        <v>8390.7800000000007</v>
      </c>
      <c r="K197" s="18">
        <f>708+118.95</f>
        <v>826.95</v>
      </c>
      <c r="L197" s="19">
        <f>SUM(F197:K197)</f>
        <v>4990744.8000000007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512300.87+53703.05+83305+57717.64+86309.06</f>
        <v>793335.62000000011</v>
      </c>
      <c r="G198" s="18">
        <f>277521.69+6723.47+41179.02+33407.53+41417.07</f>
        <v>400248.77999999997</v>
      </c>
      <c r="H198" s="18">
        <f>36158.06+107420.12+2686.27+1966.76+30597.67</f>
        <v>178828.88</v>
      </c>
      <c r="I198" s="18">
        <f>770.74+277.85+902.77+1876.37</f>
        <v>3827.73</v>
      </c>
      <c r="J198" s="18">
        <f>5272.84+65</f>
        <v>5337.84</v>
      </c>
      <c r="K198" s="18">
        <f>1512.5+1397.5</f>
        <v>2910</v>
      </c>
      <c r="L198" s="19">
        <f>SUM(F198:K198)</f>
        <v>1384488.8500000003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5125+2850</f>
        <v>7975</v>
      </c>
      <c r="G200" s="18">
        <f>967.35+573.27</f>
        <v>1540.62</v>
      </c>
      <c r="H200" s="18">
        <f>264</f>
        <v>264</v>
      </c>
      <c r="I200" s="18">
        <f>543.49</f>
        <v>543.49</v>
      </c>
      <c r="J200" s="18"/>
      <c r="K200" s="18"/>
      <c r="L200" s="19">
        <f>SUM(F200:K200)</f>
        <v>10323.109999999999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123213.9+87571.86+192090.41+41487.1</f>
        <v>444363.27</v>
      </c>
      <c r="G202" s="18">
        <f>53986.53+40864.69+112832.29+2591.54+17517.66</f>
        <v>227792.71000000002</v>
      </c>
      <c r="H202" s="18">
        <f>4269.33+16810.92+227+140+2852+74824.62+4898.65+47564.43</f>
        <v>151586.94999999998</v>
      </c>
      <c r="I202" s="18">
        <f>885.94+3712.47+1793.88+2875.08+1109.24</f>
        <v>10376.609999999999</v>
      </c>
      <c r="J202" s="18">
        <f>507</f>
        <v>507</v>
      </c>
      <c r="K202" s="18">
        <f>3367.26</f>
        <v>3367.26</v>
      </c>
      <c r="L202" s="19">
        <f t="shared" ref="L202:L208" si="0">SUM(F202:K202)</f>
        <v>837993.79999999993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148029.83+48434.76</f>
        <v>196464.59</v>
      </c>
      <c r="G203" s="18">
        <f>1731+87560.25+29125.83</f>
        <v>118417.08</v>
      </c>
      <c r="H203" s="18">
        <f>4880.46+7634.25</f>
        <v>12514.71</v>
      </c>
      <c r="I203" s="18">
        <f>23333.89+481.2</f>
        <v>23815.09</v>
      </c>
      <c r="J203" s="18">
        <f>4831.07</f>
        <v>4831.07</v>
      </c>
      <c r="K203" s="18">
        <f>421.84</f>
        <v>421.84</v>
      </c>
      <c r="L203" s="19">
        <f t="shared" si="0"/>
        <v>356464.38000000006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13341.25</f>
        <v>13341.25</v>
      </c>
      <c r="G204" s="18">
        <f>1020.64</f>
        <v>1020.64</v>
      </c>
      <c r="H204" s="18">
        <f>83904.89+337690.6</f>
        <v>421595.49</v>
      </c>
      <c r="I204" s="18">
        <f>1769.78</f>
        <v>1769.78</v>
      </c>
      <c r="J204" s="18">
        <f>1068.59</f>
        <v>1068.5899999999999</v>
      </c>
      <c r="K204" s="18">
        <f>6534.38</f>
        <v>6534.38</v>
      </c>
      <c r="L204" s="19">
        <f t="shared" si="0"/>
        <v>445330.13000000006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452586.36</f>
        <v>452586.36</v>
      </c>
      <c r="G205" s="18">
        <f>234921.13</f>
        <v>234921.13</v>
      </c>
      <c r="H205" s="18">
        <f>5838.67+17784.46+2240.67</f>
        <v>25863.799999999996</v>
      </c>
      <c r="I205" s="18">
        <f>3764.59</f>
        <v>3764.59</v>
      </c>
      <c r="J205" s="18">
        <f>2228.59</f>
        <v>2228.59</v>
      </c>
      <c r="K205" s="18">
        <f>2708.5</f>
        <v>2708.5</v>
      </c>
      <c r="L205" s="19">
        <f t="shared" si="0"/>
        <v>722072.97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246418.26+42223.82</f>
        <v>288642.08</v>
      </c>
      <c r="G207" s="18">
        <f>116276.63+23668.25</f>
        <v>139944.88</v>
      </c>
      <c r="H207" s="18">
        <f>94603.41+2836.24+35551.1</f>
        <v>132990.75</v>
      </c>
      <c r="I207" s="18">
        <f>265329.86+130.32</f>
        <v>265460.18</v>
      </c>
      <c r="J207" s="18">
        <f>11938.57</f>
        <v>11938.57</v>
      </c>
      <c r="K207" s="18"/>
      <c r="L207" s="19">
        <f t="shared" si="0"/>
        <v>838976.45999999985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6380.99+387802.66+166127.73</f>
        <v>560311.38</v>
      </c>
      <c r="I208" s="18"/>
      <c r="J208" s="18"/>
      <c r="K208" s="18"/>
      <c r="L208" s="19">
        <f t="shared" si="0"/>
        <v>560311.38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50502.96+44680.84</f>
        <v>95183.799999999988</v>
      </c>
      <c r="G209" s="18">
        <f>8211.42+25393.89</f>
        <v>33605.31</v>
      </c>
      <c r="H209" s="18">
        <f>239.2+2930.69+576.55</f>
        <v>3746.4399999999996</v>
      </c>
      <c r="I209" s="18">
        <f>3169.95+12352.08</f>
        <v>15522.029999999999</v>
      </c>
      <c r="J209" s="18">
        <f>11025.5</f>
        <v>11025.5</v>
      </c>
      <c r="K209" s="18"/>
      <c r="L209" s="19">
        <f>SUM(F209:K209)</f>
        <v>159083.07999999999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5307265.3500000006</v>
      </c>
      <c r="G211" s="41">
        <f t="shared" si="1"/>
        <v>2797919.5300000003</v>
      </c>
      <c r="H211" s="41">
        <f t="shared" si="1"/>
        <v>1520628.73</v>
      </c>
      <c r="I211" s="41">
        <f t="shared" si="1"/>
        <v>617878.48</v>
      </c>
      <c r="J211" s="41">
        <f t="shared" si="1"/>
        <v>45327.94</v>
      </c>
      <c r="K211" s="41">
        <f t="shared" si="1"/>
        <v>16768.93</v>
      </c>
      <c r="L211" s="41">
        <f t="shared" si="1"/>
        <v>10305788.960000001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1977296.1+27436.86</f>
        <v>2004732.9600000002</v>
      </c>
      <c r="G215" s="18">
        <f>947915.01+30613.81</f>
        <v>978528.82000000007</v>
      </c>
      <c r="H215" s="18">
        <f>2940+20311.32</f>
        <v>23251.32</v>
      </c>
      <c r="I215" s="18">
        <f>100368.43</f>
        <v>100368.43</v>
      </c>
      <c r="J215" s="18">
        <f>2967.56</f>
        <v>2967.56</v>
      </c>
      <c r="K215" s="18">
        <f>64.03</f>
        <v>64.03</v>
      </c>
      <c r="L215" s="19">
        <f>SUM(F215:K215)</f>
        <v>3109913.12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344553.08+4410+38246.72+55215+53254.53</f>
        <v>495679.33000000007</v>
      </c>
      <c r="G216" s="18">
        <f>215087.68+566.33+7502.45+34824.51+25555.21</f>
        <v>283536.18</v>
      </c>
      <c r="H216" s="18">
        <f>105139.1+57841.61+1446.45+1059.03+16475.67</f>
        <v>181961.86000000004</v>
      </c>
      <c r="I216" s="18">
        <f>2241.17+487.4+1010.36</f>
        <v>3738.9300000000003</v>
      </c>
      <c r="J216" s="18">
        <f>314.93+35</f>
        <v>349.93</v>
      </c>
      <c r="K216" s="18"/>
      <c r="L216" s="19">
        <f>SUM(F216:K216)</f>
        <v>965266.23000000021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26403+23924+6897.8</f>
        <v>57224.800000000003</v>
      </c>
      <c r="G218" s="18">
        <f>5856.88+4198.23+1474.91</f>
        <v>11530.02</v>
      </c>
      <c r="H218" s="18">
        <f>604.03+7634.09+100</f>
        <v>8338.1200000000008</v>
      </c>
      <c r="I218" s="18">
        <f>2227.74+1165.39+1314.65</f>
        <v>4707.7800000000007</v>
      </c>
      <c r="J218" s="18">
        <f>242.3+1069.95</f>
        <v>1312.25</v>
      </c>
      <c r="K218" s="18">
        <f>1791.5+430</f>
        <v>2221.5</v>
      </c>
      <c r="L218" s="19">
        <f>SUM(F218:K218)</f>
        <v>85334.47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109323.97+43600+70614+54424.8+22339.21</f>
        <v>300301.98000000004</v>
      </c>
      <c r="G220" s="18">
        <f>33160.9+24305.04+38292.36+15847.45+1395.45+9432.58</f>
        <v>122433.78</v>
      </c>
      <c r="H220" s="18">
        <f>460+6648+621.5+40290.18+2637.74+25611.61</f>
        <v>76269.03</v>
      </c>
      <c r="I220" s="18">
        <f>1858.48+610.29+746.35+465.08</f>
        <v>3680.2</v>
      </c>
      <c r="J220" s="18">
        <f>177.1</f>
        <v>177.1</v>
      </c>
      <c r="K220" s="18">
        <f>1813.14</f>
        <v>1813.14</v>
      </c>
      <c r="L220" s="19">
        <f t="shared" ref="L220:L226" si="2">SUM(F220:K220)</f>
        <v>504675.23000000004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17106.76+26080.26</f>
        <v>43187.02</v>
      </c>
      <c r="G221" s="18">
        <f>6639.69+15683.14</f>
        <v>22322.829999999998</v>
      </c>
      <c r="H221" s="18">
        <f>2029.92+4110.75</f>
        <v>6140.67</v>
      </c>
      <c r="I221" s="18">
        <f>280.89+12486.79+259.11</f>
        <v>13026.79</v>
      </c>
      <c r="J221" s="18">
        <f>2130.41</f>
        <v>2130.41</v>
      </c>
      <c r="K221" s="18">
        <f>271</f>
        <v>271</v>
      </c>
      <c r="L221" s="19">
        <f t="shared" si="2"/>
        <v>87078.720000000001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7183.75</f>
        <v>7183.75</v>
      </c>
      <c r="G222" s="18">
        <f>549.57</f>
        <v>549.57000000000005</v>
      </c>
      <c r="H222" s="18">
        <f>45179.56+181833.4</f>
        <v>227012.96</v>
      </c>
      <c r="I222" s="18">
        <f>952.96</f>
        <v>952.96</v>
      </c>
      <c r="J222" s="18">
        <f>575.39</f>
        <v>575.39</v>
      </c>
      <c r="K222" s="18">
        <f>3518.51</f>
        <v>3518.51</v>
      </c>
      <c r="L222" s="19">
        <f t="shared" si="2"/>
        <v>239793.14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198079.04</f>
        <v>198079.04</v>
      </c>
      <c r="G223" s="18">
        <f>102313.24</f>
        <v>102313.24</v>
      </c>
      <c r="H223" s="18">
        <f>5018.08+13762.82+1206.52</f>
        <v>19987.420000000002</v>
      </c>
      <c r="I223" s="18">
        <f>1088.97</f>
        <v>1088.97</v>
      </c>
      <c r="J223" s="18">
        <f>1559.89</f>
        <v>1559.89</v>
      </c>
      <c r="K223" s="18">
        <f>1589</f>
        <v>1589</v>
      </c>
      <c r="L223" s="19">
        <f t="shared" si="2"/>
        <v>324617.56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181816.06+22735.91</f>
        <v>204551.97</v>
      </c>
      <c r="G225" s="18">
        <f>107019.04+12744.44</f>
        <v>119763.48</v>
      </c>
      <c r="H225" s="18">
        <f>87782.79+1527.21+19142.9</f>
        <v>108452.9</v>
      </c>
      <c r="I225" s="18">
        <f>223159.42+70.17</f>
        <v>223229.59000000003</v>
      </c>
      <c r="J225" s="18">
        <f>1551.33</f>
        <v>1551.33</v>
      </c>
      <c r="K225" s="18"/>
      <c r="L225" s="19">
        <f t="shared" si="2"/>
        <v>657549.2699999999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22185.89+209413.44+102504.35</f>
        <v>334103.68000000005</v>
      </c>
      <c r="I226" s="18"/>
      <c r="J226" s="18"/>
      <c r="K226" s="18"/>
      <c r="L226" s="19">
        <f t="shared" si="2"/>
        <v>334103.68000000005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24058.92</f>
        <v>24058.92</v>
      </c>
      <c r="G227" s="18">
        <f>13673.63</f>
        <v>13673.63</v>
      </c>
      <c r="H227" s="18">
        <f>128.8+1578.07+310.45</f>
        <v>2017.32</v>
      </c>
      <c r="I227" s="18">
        <f>4627.57+6651.12</f>
        <v>11278.689999999999</v>
      </c>
      <c r="J227" s="18">
        <f>5936.8</f>
        <v>5936.8</v>
      </c>
      <c r="K227" s="18"/>
      <c r="L227" s="19">
        <f>SUM(F227:K227)</f>
        <v>56965.36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3334999.77</v>
      </c>
      <c r="G229" s="41">
        <f>SUM(G215:G228)</f>
        <v>1654651.55</v>
      </c>
      <c r="H229" s="41">
        <f>SUM(H215:H228)</f>
        <v>987535.28000000014</v>
      </c>
      <c r="I229" s="41">
        <f>SUM(I215:I228)</f>
        <v>362072.34</v>
      </c>
      <c r="J229" s="41">
        <f>SUM(J215:J228)</f>
        <v>16560.66</v>
      </c>
      <c r="K229" s="41">
        <f t="shared" si="3"/>
        <v>9477.18</v>
      </c>
      <c r="L229" s="41">
        <f t="shared" si="3"/>
        <v>6365296.7799999993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1691.75+5360160.38+221000</f>
        <v>5582852.1299999999</v>
      </c>
      <c r="I233" s="18"/>
      <c r="J233" s="18"/>
      <c r="K233" s="18"/>
      <c r="L233" s="19">
        <f>SUM(F233:K233)</f>
        <v>5582852.1299999999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44072.71+228557.29</f>
        <v>272630</v>
      </c>
      <c r="G234" s="18">
        <f>21149.15+141903.51</f>
        <v>163052.66</v>
      </c>
      <c r="H234" s="18">
        <f>1963502.14</f>
        <v>1963502.14</v>
      </c>
      <c r="I234" s="18"/>
      <c r="J234" s="18"/>
      <c r="K234" s="18"/>
      <c r="L234" s="19">
        <f>SUM(F234:K234)</f>
        <v>2399184.7999999998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178389.22+84831.18</f>
        <v>263220.40000000002</v>
      </c>
      <c r="I244" s="18"/>
      <c r="J244" s="18"/>
      <c r="K244" s="18"/>
      <c r="L244" s="19">
        <f t="shared" si="4"/>
        <v>263220.40000000002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272630</v>
      </c>
      <c r="G247" s="41">
        <f t="shared" si="5"/>
        <v>163052.66</v>
      </c>
      <c r="H247" s="41">
        <f t="shared" si="5"/>
        <v>7809574.6699999999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8245257.3300000001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13222</v>
      </c>
      <c r="I255" s="18"/>
      <c r="J255" s="18"/>
      <c r="K255" s="18"/>
      <c r="L255" s="19">
        <f t="shared" si="6"/>
        <v>13222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13222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13222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8914895.120000001</v>
      </c>
      <c r="G257" s="41">
        <f t="shared" si="8"/>
        <v>4615623.74</v>
      </c>
      <c r="H257" s="41">
        <f t="shared" si="8"/>
        <v>10330960.68</v>
      </c>
      <c r="I257" s="41">
        <f t="shared" si="8"/>
        <v>979950.82000000007</v>
      </c>
      <c r="J257" s="41">
        <f t="shared" si="8"/>
        <v>61888.600000000006</v>
      </c>
      <c r="K257" s="41">
        <f t="shared" si="8"/>
        <v>26246.11</v>
      </c>
      <c r="L257" s="41">
        <f t="shared" si="8"/>
        <v>24929565.07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1035000</v>
      </c>
      <c r="L260" s="19">
        <f>SUM(F260:K260)</f>
        <v>1035000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476652.5</v>
      </c>
      <c r="L261" s="19">
        <f>SUM(F261:K261)</f>
        <v>476652.5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78959.320000000007</v>
      </c>
      <c r="L263" s="19">
        <f>SUM(F263:K263)</f>
        <v>78959.320000000007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11497.55</v>
      </c>
      <c r="L268" s="19">
        <f t="shared" si="9"/>
        <v>11497.55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1602109.37</v>
      </c>
      <c r="L270" s="41">
        <f t="shared" si="9"/>
        <v>1602109.37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8914895.120000001</v>
      </c>
      <c r="G271" s="42">
        <f t="shared" si="11"/>
        <v>4615623.74</v>
      </c>
      <c r="H271" s="42">
        <f t="shared" si="11"/>
        <v>10330960.68</v>
      </c>
      <c r="I271" s="42">
        <f t="shared" si="11"/>
        <v>979950.82000000007</v>
      </c>
      <c r="J271" s="42">
        <f t="shared" si="11"/>
        <v>61888.600000000006</v>
      </c>
      <c r="K271" s="42">
        <f t="shared" si="11"/>
        <v>1628355.4800000002</v>
      </c>
      <c r="L271" s="42">
        <f t="shared" si="11"/>
        <v>26531674.440000001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78546.61</f>
        <v>78546.61</v>
      </c>
      <c r="G276" s="18">
        <f>10942.08</f>
        <v>10942.08</v>
      </c>
      <c r="H276" s="18">
        <v>-32.5</v>
      </c>
      <c r="I276" s="18">
        <f>1264.91+4603.21</f>
        <v>5868.12</v>
      </c>
      <c r="J276" s="18">
        <f>8389.95</f>
        <v>8389.9500000000007</v>
      </c>
      <c r="K276" s="18"/>
      <c r="L276" s="19">
        <f>SUM(F276:K276)</f>
        <v>103714.26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35956.77+68435.25</f>
        <v>104392.01999999999</v>
      </c>
      <c r="G277" s="18">
        <f>2750.87+14566.74</f>
        <v>17317.61</v>
      </c>
      <c r="H277" s="18">
        <f>9002.5+9635.12</f>
        <v>18637.620000000003</v>
      </c>
      <c r="I277" s="18">
        <f>4416.26</f>
        <v>4416.26</v>
      </c>
      <c r="J277" s="18">
        <f>806</f>
        <v>806</v>
      </c>
      <c r="K277" s="18"/>
      <c r="L277" s="19">
        <f>SUM(F277:K277)</f>
        <v>145569.51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>
        <f>3975</f>
        <v>3975</v>
      </c>
      <c r="I279" s="18"/>
      <c r="J279" s="18"/>
      <c r="K279" s="18"/>
      <c r="L279" s="19">
        <f>SUM(F279:K279)</f>
        <v>3975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3151.43+48746.14</f>
        <v>51897.57</v>
      </c>
      <c r="G281" s="18">
        <f>241.1+9707.32</f>
        <v>9948.42</v>
      </c>
      <c r="H281" s="18">
        <f>6500+26000</f>
        <v>32500</v>
      </c>
      <c r="I281" s="18"/>
      <c r="J281" s="18"/>
      <c r="K281" s="18"/>
      <c r="L281" s="19">
        <f t="shared" ref="L281:L287" si="12">SUM(F281:K281)</f>
        <v>94345.989999999991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231.56+2347</f>
        <v>2578.56</v>
      </c>
      <c r="G282" s="18">
        <f>50.51+500.67</f>
        <v>551.18000000000006</v>
      </c>
      <c r="H282" s="18">
        <f>14115.62+1394.84+6098</f>
        <v>21608.46</v>
      </c>
      <c r="I282" s="18">
        <f>1089.7+2876.58</f>
        <v>3966.2799999999997</v>
      </c>
      <c r="J282" s="18"/>
      <c r="K282" s="18"/>
      <c r="L282" s="19">
        <f t="shared" si="12"/>
        <v>28704.479999999996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f>9883.41</f>
        <v>9883.41</v>
      </c>
      <c r="L285" s="19">
        <f t="shared" si="12"/>
        <v>9883.41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>
        <f>685.33</f>
        <v>685.33</v>
      </c>
      <c r="J288" s="18">
        <f>419.8</f>
        <v>419.8</v>
      </c>
      <c r="K288" s="18"/>
      <c r="L288" s="19">
        <f>SUM(F288:K288)</f>
        <v>1105.1300000000001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237414.76</v>
      </c>
      <c r="G290" s="42">
        <f t="shared" si="13"/>
        <v>38759.29</v>
      </c>
      <c r="H290" s="42">
        <f t="shared" si="13"/>
        <v>76688.58</v>
      </c>
      <c r="I290" s="42">
        <f t="shared" si="13"/>
        <v>14935.99</v>
      </c>
      <c r="J290" s="42">
        <f t="shared" si="13"/>
        <v>9615.75</v>
      </c>
      <c r="K290" s="42">
        <f t="shared" si="13"/>
        <v>9883.41</v>
      </c>
      <c r="L290" s="41">
        <f t="shared" si="13"/>
        <v>387297.77999999997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>
        <v>-17.5</v>
      </c>
      <c r="I295" s="18">
        <f>681.1</f>
        <v>681.1</v>
      </c>
      <c r="J295" s="18"/>
      <c r="K295" s="18"/>
      <c r="L295" s="19">
        <f>SUM(F295:K295)</f>
        <v>663.6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19361.33</f>
        <v>19361.330000000002</v>
      </c>
      <c r="G296" s="18">
        <f>1481.24</f>
        <v>1481.24</v>
      </c>
      <c r="H296" s="18">
        <f>10000+4847.5+2377.99+5188.14</f>
        <v>22413.629999999997</v>
      </c>
      <c r="I296" s="18">
        <f>323.75</f>
        <v>323.75</v>
      </c>
      <c r="J296" s="18">
        <f>434</f>
        <v>434</v>
      </c>
      <c r="K296" s="18"/>
      <c r="L296" s="19">
        <f>SUM(F296:K296)</f>
        <v>44013.95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f>2000</f>
        <v>2000</v>
      </c>
      <c r="G298" s="18"/>
      <c r="H298" s="18"/>
      <c r="I298" s="18"/>
      <c r="J298" s="18"/>
      <c r="K298" s="18"/>
      <c r="L298" s="19">
        <f>SUM(F298:K298)</f>
        <v>2000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1696.93</f>
        <v>1696.93</v>
      </c>
      <c r="G300" s="18">
        <f>129.82</f>
        <v>129.82</v>
      </c>
      <c r="H300" s="18">
        <f>3500+14000</f>
        <v>17500</v>
      </c>
      <c r="I300" s="18"/>
      <c r="J300" s="18"/>
      <c r="K300" s="18"/>
      <c r="L300" s="19">
        <f t="shared" ref="L300:L306" si="14">SUM(F300:K300)</f>
        <v>19326.75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124.69</f>
        <v>124.69</v>
      </c>
      <c r="G301" s="18">
        <f>27.2</f>
        <v>27.2</v>
      </c>
      <c r="H301" s="18">
        <f>7600.72+751.07</f>
        <v>8351.7900000000009</v>
      </c>
      <c r="I301" s="18">
        <f>586.76</f>
        <v>586.76</v>
      </c>
      <c r="J301" s="18"/>
      <c r="K301" s="18"/>
      <c r="L301" s="19">
        <f t="shared" si="14"/>
        <v>9090.44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f>1307.76+5321.84</f>
        <v>6629.6</v>
      </c>
      <c r="L304" s="19">
        <f t="shared" si="14"/>
        <v>6629.6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>
        <f>76</f>
        <v>76</v>
      </c>
      <c r="J307" s="18">
        <f>1862.78</f>
        <v>1862.78</v>
      </c>
      <c r="K307" s="18"/>
      <c r="L307" s="19">
        <f>SUM(F307:K307)</f>
        <v>1938.78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23182.95</v>
      </c>
      <c r="G309" s="42">
        <f t="shared" si="15"/>
        <v>1638.26</v>
      </c>
      <c r="H309" s="42">
        <f t="shared" si="15"/>
        <v>48247.92</v>
      </c>
      <c r="I309" s="42">
        <f t="shared" si="15"/>
        <v>1667.6100000000001</v>
      </c>
      <c r="J309" s="42">
        <f t="shared" si="15"/>
        <v>2296.7799999999997</v>
      </c>
      <c r="K309" s="42">
        <f t="shared" si="15"/>
        <v>6629.6</v>
      </c>
      <c r="L309" s="41">
        <f t="shared" si="15"/>
        <v>83663.12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260597.71000000002</v>
      </c>
      <c r="G338" s="41">
        <f t="shared" si="20"/>
        <v>40397.550000000003</v>
      </c>
      <c r="H338" s="41">
        <f t="shared" si="20"/>
        <v>124936.5</v>
      </c>
      <c r="I338" s="41">
        <f t="shared" si="20"/>
        <v>16603.599999999999</v>
      </c>
      <c r="J338" s="41">
        <f t="shared" si="20"/>
        <v>11912.529999999999</v>
      </c>
      <c r="K338" s="41">
        <f t="shared" si="20"/>
        <v>16513.010000000002</v>
      </c>
      <c r="L338" s="41">
        <f t="shared" si="20"/>
        <v>470960.89999999997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260597.71000000002</v>
      </c>
      <c r="G352" s="41">
        <f>G338</f>
        <v>40397.550000000003</v>
      </c>
      <c r="H352" s="41">
        <f>H338</f>
        <v>124936.5</v>
      </c>
      <c r="I352" s="41">
        <f>I338</f>
        <v>16603.599999999999</v>
      </c>
      <c r="J352" s="41">
        <f>J338</f>
        <v>11912.529999999999</v>
      </c>
      <c r="K352" s="47">
        <f>K338+K351</f>
        <v>16513.010000000002</v>
      </c>
      <c r="L352" s="41">
        <f>L338+L351</f>
        <v>470960.89999999997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56348.44+60859.18+546+1676+29068.88</f>
        <v>148498.5</v>
      </c>
      <c r="G358" s="18">
        <f>46747.91+3333.12+157.5+8515.19+7733.76+557.27+3490.86+10938.99</f>
        <v>81474.60000000002</v>
      </c>
      <c r="H358" s="18">
        <f>588.61+2988.95+1241.21</f>
        <v>4818.7700000000004</v>
      </c>
      <c r="I358" s="18">
        <f>153334.6+1368.25</f>
        <v>154702.85</v>
      </c>
      <c r="J358" s="18">
        <f>313.87+313.87</f>
        <v>627.74</v>
      </c>
      <c r="K358" s="18"/>
      <c r="L358" s="13">
        <f>SUM(F358:K358)</f>
        <v>390122.46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2898.08+61871.28+15652.48</f>
        <v>80421.84</v>
      </c>
      <c r="G359" s="18">
        <f>1811.24+8904.28+575.7+37.5+4859.69+2002.21+296.57+5890.23</f>
        <v>24377.42</v>
      </c>
      <c r="H359" s="18">
        <f>2500.52</f>
        <v>2500.52</v>
      </c>
      <c r="I359" s="18">
        <f>82564.79+736.75</f>
        <v>83301.539999999994</v>
      </c>
      <c r="J359" s="18">
        <f>313.86</f>
        <v>313.86</v>
      </c>
      <c r="K359" s="18"/>
      <c r="L359" s="19">
        <f>SUM(F359:K359)</f>
        <v>190915.18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228920.34</v>
      </c>
      <c r="G362" s="47">
        <f t="shared" si="22"/>
        <v>105852.02000000002</v>
      </c>
      <c r="H362" s="47">
        <f t="shared" si="22"/>
        <v>7319.2900000000009</v>
      </c>
      <c r="I362" s="47">
        <f t="shared" si="22"/>
        <v>238004.39</v>
      </c>
      <c r="J362" s="47">
        <f t="shared" si="22"/>
        <v>941.6</v>
      </c>
      <c r="K362" s="47">
        <f t="shared" si="22"/>
        <v>0</v>
      </c>
      <c r="L362" s="47">
        <f t="shared" si="22"/>
        <v>581037.64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142745.54</v>
      </c>
      <c r="G367" s="18">
        <v>76862.990000000005</v>
      </c>
      <c r="H367" s="18"/>
      <c r="I367" s="56">
        <f>SUM(F367:H367)</f>
        <v>219608.53000000003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10589.06+1368.25</f>
        <v>11957.31</v>
      </c>
      <c r="G368" s="63">
        <f>5701.8+736.75</f>
        <v>6438.55</v>
      </c>
      <c r="H368" s="63"/>
      <c r="I368" s="56">
        <f>SUM(F368:H368)</f>
        <v>18395.86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154702.85</v>
      </c>
      <c r="G369" s="47">
        <f>SUM(G367:G368)</f>
        <v>83301.540000000008</v>
      </c>
      <c r="H369" s="47">
        <f>SUM(H367:H368)</f>
        <v>0</v>
      </c>
      <c r="I369" s="47">
        <f>SUM(I367:I368)</f>
        <v>238004.39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367.09</v>
      </c>
      <c r="I388" s="18"/>
      <c r="J388" s="24" t="s">
        <v>289</v>
      </c>
      <c r="K388" s="24" t="s">
        <v>289</v>
      </c>
      <c r="L388" s="56">
        <f t="shared" si="25"/>
        <v>367.09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367.09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367.09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681.69</v>
      </c>
      <c r="I397" s="18"/>
      <c r="J397" s="24" t="s">
        <v>289</v>
      </c>
      <c r="K397" s="24" t="s">
        <v>289</v>
      </c>
      <c r="L397" s="56">
        <f t="shared" si="26"/>
        <v>681.69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42.43</v>
      </c>
      <c r="I399" s="18"/>
      <c r="J399" s="24" t="s">
        <v>289</v>
      </c>
      <c r="K399" s="24" t="s">
        <v>289</v>
      </c>
      <c r="L399" s="56">
        <f t="shared" si="26"/>
        <v>42.43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724.12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724.12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1091.21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1091.21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>
        <v>383.61</v>
      </c>
      <c r="J425" s="18">
        <v>59164</v>
      </c>
      <c r="K425" s="18"/>
      <c r="L425" s="56">
        <f t="shared" si="29"/>
        <v>59547.61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383.61</v>
      </c>
      <c r="J427" s="47">
        <f t="shared" si="30"/>
        <v>59164</v>
      </c>
      <c r="K427" s="47">
        <f t="shared" si="30"/>
        <v>0</v>
      </c>
      <c r="L427" s="47">
        <f t="shared" si="30"/>
        <v>59547.61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383.61</v>
      </c>
      <c r="J434" s="47">
        <f t="shared" si="32"/>
        <v>59164</v>
      </c>
      <c r="K434" s="47">
        <f t="shared" si="32"/>
        <v>0</v>
      </c>
      <c r="L434" s="47">
        <f t="shared" si="32"/>
        <v>59547.61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114098.57</v>
      </c>
      <c r="G442" s="18">
        <v>217191.46</v>
      </c>
      <c r="H442" s="18"/>
      <c r="I442" s="56">
        <f t="shared" si="33"/>
        <v>331290.03000000003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114098.57</v>
      </c>
      <c r="G446" s="13">
        <f>SUM(G439:G445)</f>
        <v>217191.46</v>
      </c>
      <c r="H446" s="13">
        <f>SUM(H439:H445)</f>
        <v>0</v>
      </c>
      <c r="I446" s="13">
        <f>SUM(I439:I445)</f>
        <v>331290.03000000003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114098.57</v>
      </c>
      <c r="G459" s="18">
        <v>217191.46</v>
      </c>
      <c r="H459" s="18"/>
      <c r="I459" s="56">
        <f t="shared" si="34"/>
        <v>331290.03000000003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114098.57</v>
      </c>
      <c r="G460" s="83">
        <f>SUM(G454:G459)</f>
        <v>217191.46</v>
      </c>
      <c r="H460" s="83">
        <f>SUM(H454:H459)</f>
        <v>0</v>
      </c>
      <c r="I460" s="83">
        <f>SUM(I454:I459)</f>
        <v>331290.03000000003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114098.57</v>
      </c>
      <c r="G461" s="42">
        <f>G452+G460</f>
        <v>217191.46</v>
      </c>
      <c r="H461" s="42">
        <f>H452+H460</f>
        <v>0</v>
      </c>
      <c r="I461" s="42">
        <f>I452+I460</f>
        <v>331290.03000000003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942593.68</v>
      </c>
      <c r="G465" s="18"/>
      <c r="H465" s="18"/>
      <c r="I465" s="18"/>
      <c r="J465" s="18">
        <v>389746.43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25844592.789999999</v>
      </c>
      <c r="G468" s="18">
        <v>581037.64</v>
      </c>
      <c r="H468" s="18">
        <v>470960.9</v>
      </c>
      <c r="I468" s="18"/>
      <c r="J468" s="18">
        <v>1091.21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25844592.789999999</v>
      </c>
      <c r="G470" s="53">
        <f>SUM(G468:G469)</f>
        <v>581037.64</v>
      </c>
      <c r="H470" s="53">
        <f>SUM(H468:H469)</f>
        <v>470960.9</v>
      </c>
      <c r="I470" s="53">
        <f>SUM(I468:I469)</f>
        <v>0</v>
      </c>
      <c r="J470" s="53">
        <f>SUM(J468:J469)</f>
        <v>1091.21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26531674.440000001</v>
      </c>
      <c r="G472" s="18">
        <v>581037.64</v>
      </c>
      <c r="H472" s="18">
        <v>470960.9</v>
      </c>
      <c r="I472" s="18"/>
      <c r="J472" s="18">
        <v>59547.61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26531674.440000001</v>
      </c>
      <c r="G474" s="53">
        <f>SUM(G472:G473)</f>
        <v>581037.64</v>
      </c>
      <c r="H474" s="53">
        <f>SUM(H472:H473)</f>
        <v>470960.9</v>
      </c>
      <c r="I474" s="53">
        <f>SUM(I472:I473)</f>
        <v>0</v>
      </c>
      <c r="J474" s="53">
        <f>SUM(J472:J473)</f>
        <v>59547.61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255512.02999999747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331290.03000000003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30732213.059999999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4.51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10330000</v>
      </c>
      <c r="G495" s="18"/>
      <c r="H495" s="18"/>
      <c r="I495" s="18"/>
      <c r="J495" s="18"/>
      <c r="K495" s="53">
        <f>SUM(F495:J495)</f>
        <v>10330000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1511652.5</v>
      </c>
      <c r="G497" s="18"/>
      <c r="H497" s="18"/>
      <c r="I497" s="18"/>
      <c r="J497" s="18"/>
      <c r="K497" s="53">
        <f t="shared" si="35"/>
        <v>1511652.5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9295000</v>
      </c>
      <c r="G498" s="204"/>
      <c r="H498" s="204"/>
      <c r="I498" s="204"/>
      <c r="J498" s="204"/>
      <c r="K498" s="205">
        <f t="shared" si="35"/>
        <v>9295000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2079560</v>
      </c>
      <c r="G499" s="18"/>
      <c r="H499" s="18"/>
      <c r="I499" s="18"/>
      <c r="J499" s="18"/>
      <c r="K499" s="53">
        <f t="shared" si="35"/>
        <v>2079560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11374560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11374560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1035000</v>
      </c>
      <c r="G501" s="204"/>
      <c r="H501" s="204"/>
      <c r="I501" s="204"/>
      <c r="J501" s="204"/>
      <c r="K501" s="205">
        <f t="shared" si="35"/>
        <v>1035000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431630</v>
      </c>
      <c r="G502" s="18"/>
      <c r="H502" s="18"/>
      <c r="I502" s="18"/>
      <c r="J502" s="18"/>
      <c r="K502" s="53">
        <f t="shared" si="35"/>
        <v>431630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1466630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1466630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512300.87+53703.05+83305+35956.77+68435.25</f>
        <v>753700.94000000006</v>
      </c>
      <c r="G521" s="18">
        <f>277521.69+6723.47+41179.02+2750.87+14566.74</f>
        <v>342741.79</v>
      </c>
      <c r="H521" s="18">
        <f>22124.47+34792</f>
        <v>56916.47</v>
      </c>
      <c r="I521" s="18">
        <f>277.85+4416.26+770.74</f>
        <v>5464.85</v>
      </c>
      <c r="J521" s="18">
        <f>806</f>
        <v>806</v>
      </c>
      <c r="K521" s="18"/>
      <c r="L521" s="88">
        <f>SUM(F521:K521)</f>
        <v>1159630.05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344553.08+4410+38246.72+19361.34</f>
        <v>406571.14000000007</v>
      </c>
      <c r="G522" s="18">
        <f>215087.68+566.33+7502.45+1481.24</f>
        <v>224637.69999999998</v>
      </c>
      <c r="H522" s="18">
        <f>13651.27+7948.48+96776.62</f>
        <v>118376.37</v>
      </c>
      <c r="I522" s="18">
        <f>2241.17+2377.99+323.75</f>
        <v>4942.91</v>
      </c>
      <c r="J522" s="18">
        <f>314.93+434</f>
        <v>748.93000000000006</v>
      </c>
      <c r="K522" s="18"/>
      <c r="L522" s="88">
        <f>SUM(F522:K522)</f>
        <v>755277.05000000016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228557.29</f>
        <v>228557.29</v>
      </c>
      <c r="G523" s="18">
        <f>141903.51</f>
        <v>141903.51</v>
      </c>
      <c r="H523" s="18">
        <f>11297.6+1963502.14</f>
        <v>1974799.74</v>
      </c>
      <c r="I523" s="18"/>
      <c r="J523" s="18"/>
      <c r="K523" s="18"/>
      <c r="L523" s="88">
        <f>SUM(F523:K523)</f>
        <v>2345260.54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1388829.37</v>
      </c>
      <c r="G524" s="108">
        <f t="shared" ref="G524:L524" si="36">SUM(G521:G523)</f>
        <v>709283</v>
      </c>
      <c r="H524" s="108">
        <f t="shared" si="36"/>
        <v>2150092.58</v>
      </c>
      <c r="I524" s="108">
        <f t="shared" si="36"/>
        <v>10407.76</v>
      </c>
      <c r="J524" s="108">
        <f t="shared" si="36"/>
        <v>1554.93</v>
      </c>
      <c r="K524" s="108">
        <f t="shared" si="36"/>
        <v>0</v>
      </c>
      <c r="L524" s="89">
        <f t="shared" si="36"/>
        <v>4260167.6400000006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29998.37+192090.41+3151.43+48746.14</f>
        <v>273986.34999999998</v>
      </c>
      <c r="G526" s="18">
        <f>1873.89+12666.61+112832.29+241.1+9707.32</f>
        <v>137321.21</v>
      </c>
      <c r="H526" s="18">
        <f>77673.01+54103.96+3542.1+34392.74+2852+9002.5+16135.12+26000</f>
        <v>223701.43</v>
      </c>
      <c r="I526" s="18">
        <f>1793.88+2875.08</f>
        <v>4668.96</v>
      </c>
      <c r="J526" s="18">
        <f>5272.84+507</f>
        <v>5779.84</v>
      </c>
      <c r="K526" s="18">
        <f>1512.5</f>
        <v>1512.5</v>
      </c>
      <c r="L526" s="88">
        <f>SUM(F526:K526)</f>
        <v>646970.28999999992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18509.63+70614+54424.8+1696.93</f>
        <v>145245.35999999999</v>
      </c>
      <c r="G527" s="18">
        <f>1156.23+7815.57+38292.36+15847.45+129.82</f>
        <v>63241.43</v>
      </c>
      <c r="H527" s="18">
        <f>47925.9+33383.29+2185.55+21221.05+4847.5+8688.14+14000+10000</f>
        <v>142251.43</v>
      </c>
      <c r="I527" s="18">
        <f>746.35+610.29</f>
        <v>1356.6399999999999</v>
      </c>
      <c r="J527" s="18"/>
      <c r="K527" s="18"/>
      <c r="L527" s="88">
        <f>SUM(F527:K527)</f>
        <v>352094.86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15318.31</f>
        <v>15318.31</v>
      </c>
      <c r="G528" s="18">
        <f>956.88+6468.06</f>
        <v>7424.9400000000005</v>
      </c>
      <c r="H528" s="18">
        <f>39662.82+27627.55+1808.73+17562.25</f>
        <v>86661.349999999991</v>
      </c>
      <c r="I528" s="18"/>
      <c r="J528" s="18"/>
      <c r="K528" s="18"/>
      <c r="L528" s="88">
        <f>SUM(F528:K528)</f>
        <v>109404.59999999999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434550.01999999996</v>
      </c>
      <c r="G529" s="89">
        <f t="shared" ref="G529:L529" si="37">SUM(G526:G528)</f>
        <v>207987.58</v>
      </c>
      <c r="H529" s="89">
        <f t="shared" si="37"/>
        <v>452614.20999999996</v>
      </c>
      <c r="I529" s="89">
        <f t="shared" si="37"/>
        <v>6025.6</v>
      </c>
      <c r="J529" s="89">
        <f t="shared" si="37"/>
        <v>5779.84</v>
      </c>
      <c r="K529" s="89">
        <f t="shared" si="37"/>
        <v>1512.5</v>
      </c>
      <c r="L529" s="89">
        <f t="shared" si="37"/>
        <v>1108469.75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86309.06</f>
        <v>86309.06</v>
      </c>
      <c r="G531" s="18">
        <f>41417.07</f>
        <v>41417.07</v>
      </c>
      <c r="H531" s="18">
        <f>1942.38+1422.12+1366.06</f>
        <v>4730.5599999999995</v>
      </c>
      <c r="I531" s="18">
        <f>1356.76</f>
        <v>1356.76</v>
      </c>
      <c r="J531" s="18">
        <f>47</f>
        <v>47</v>
      </c>
      <c r="K531" s="18"/>
      <c r="L531" s="88">
        <f>SUM(F531:K531)</f>
        <v>133860.45000000001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53254.53</f>
        <v>53254.53</v>
      </c>
      <c r="G532" s="18">
        <f>25555.21</f>
        <v>25555.21</v>
      </c>
      <c r="H532" s="18">
        <f>1198.49+877.48+414</f>
        <v>2489.9700000000003</v>
      </c>
      <c r="I532" s="18">
        <f>837.15</f>
        <v>837.15</v>
      </c>
      <c r="J532" s="18">
        <f>29</f>
        <v>29</v>
      </c>
      <c r="K532" s="18"/>
      <c r="L532" s="88">
        <f>SUM(F532:K532)</f>
        <v>82165.859999999986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44072.71</f>
        <v>44072.71</v>
      </c>
      <c r="G533" s="18">
        <f>21149.14</f>
        <v>21149.14</v>
      </c>
      <c r="H533" s="18">
        <f>991.85+726.19</f>
        <v>1718.04</v>
      </c>
      <c r="I533" s="18">
        <f>692.82</f>
        <v>692.82</v>
      </c>
      <c r="J533" s="18">
        <f>24</f>
        <v>24</v>
      </c>
      <c r="K533" s="18"/>
      <c r="L533" s="88">
        <f>SUM(F533:K533)</f>
        <v>67656.710000000006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183636.3</v>
      </c>
      <c r="G534" s="89">
        <f t="shared" ref="G534:L534" si="38">SUM(G531:G533)</f>
        <v>88121.42</v>
      </c>
      <c r="H534" s="89">
        <f t="shared" si="38"/>
        <v>8938.57</v>
      </c>
      <c r="I534" s="89">
        <f t="shared" si="38"/>
        <v>2886.73</v>
      </c>
      <c r="J534" s="89">
        <f t="shared" si="38"/>
        <v>100</v>
      </c>
      <c r="K534" s="89">
        <f t="shared" si="38"/>
        <v>0</v>
      </c>
      <c r="L534" s="89">
        <f t="shared" si="38"/>
        <v>283683.02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68296.12</v>
      </c>
      <c r="I536" s="18"/>
      <c r="J536" s="18"/>
      <c r="K536" s="18"/>
      <c r="L536" s="88">
        <f>SUM(F536:K536)</f>
        <v>68296.12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36774.83</v>
      </c>
      <c r="I537" s="18"/>
      <c r="J537" s="18"/>
      <c r="K537" s="18"/>
      <c r="L537" s="88">
        <f>SUM(F537:K537)</f>
        <v>36774.83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105070.95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105070.95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301">
        <v>166127.73000000001</v>
      </c>
      <c r="I541" s="18"/>
      <c r="J541" s="18"/>
      <c r="K541" s="18"/>
      <c r="L541" s="88">
        <f>SUM(F541:K541)</f>
        <v>166127.73000000001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301">
        <v>102504.35</v>
      </c>
      <c r="I542" s="18"/>
      <c r="J542" s="18"/>
      <c r="K542" s="18"/>
      <c r="L542" s="88">
        <f>SUM(F542:K542)</f>
        <v>102504.35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301">
        <v>84831.18</v>
      </c>
      <c r="I543" s="18"/>
      <c r="J543" s="18"/>
      <c r="K543" s="18"/>
      <c r="L543" s="88">
        <f>SUM(F543:K543)</f>
        <v>84831.18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353463.26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353463.26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2007015.6900000002</v>
      </c>
      <c r="G545" s="89">
        <f t="shared" ref="G545:L545" si="41">G524+G529+G534+G539+G544</f>
        <v>1005392</v>
      </c>
      <c r="H545" s="89">
        <f t="shared" si="41"/>
        <v>3070179.5700000003</v>
      </c>
      <c r="I545" s="89">
        <f t="shared" si="41"/>
        <v>19320.09</v>
      </c>
      <c r="J545" s="89">
        <f t="shared" si="41"/>
        <v>7434.77</v>
      </c>
      <c r="K545" s="89">
        <f t="shared" si="41"/>
        <v>1512.5</v>
      </c>
      <c r="L545" s="89">
        <f t="shared" si="41"/>
        <v>6110854.6200000001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1159630.05</v>
      </c>
      <c r="G549" s="87">
        <f>L526</f>
        <v>646970.28999999992</v>
      </c>
      <c r="H549" s="87">
        <f>L531</f>
        <v>133860.45000000001</v>
      </c>
      <c r="I549" s="87">
        <f>L536</f>
        <v>68296.12</v>
      </c>
      <c r="J549" s="87">
        <f>L541</f>
        <v>166127.73000000001</v>
      </c>
      <c r="K549" s="87">
        <f>SUM(F549:J549)</f>
        <v>2174884.6399999997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755277.05000000016</v>
      </c>
      <c r="G550" s="87">
        <f>L527</f>
        <v>352094.86</v>
      </c>
      <c r="H550" s="87">
        <f>L532</f>
        <v>82165.859999999986</v>
      </c>
      <c r="I550" s="87">
        <f>L537</f>
        <v>36774.83</v>
      </c>
      <c r="J550" s="87">
        <f>L542</f>
        <v>102504.35</v>
      </c>
      <c r="K550" s="87">
        <f>SUM(F550:J550)</f>
        <v>1328816.9500000002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2345260.54</v>
      </c>
      <c r="G551" s="87">
        <f>L528</f>
        <v>109404.59999999999</v>
      </c>
      <c r="H551" s="87">
        <f>L533</f>
        <v>67656.710000000006</v>
      </c>
      <c r="I551" s="87">
        <f>L538</f>
        <v>0</v>
      </c>
      <c r="J551" s="87">
        <f>L543</f>
        <v>84831.18</v>
      </c>
      <c r="K551" s="87">
        <f>SUM(F551:J551)</f>
        <v>2607153.0300000003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4260167.6400000006</v>
      </c>
      <c r="G552" s="89">
        <f t="shared" si="42"/>
        <v>1108469.75</v>
      </c>
      <c r="H552" s="89">
        <f t="shared" si="42"/>
        <v>283683.02</v>
      </c>
      <c r="I552" s="89">
        <f t="shared" si="42"/>
        <v>105070.95</v>
      </c>
      <c r="J552" s="89">
        <f t="shared" si="42"/>
        <v>353463.26</v>
      </c>
      <c r="K552" s="89">
        <f t="shared" si="42"/>
        <v>6110854.6200000001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4"/>
      <c r="G557" s="4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83305</f>
        <v>83305</v>
      </c>
      <c r="G562" s="18">
        <f>41179.02</f>
        <v>41179.019999999997</v>
      </c>
      <c r="H562" s="18"/>
      <c r="I562" s="18">
        <f>277.85</f>
        <v>277.85000000000002</v>
      </c>
      <c r="J562" s="18"/>
      <c r="K562" s="18"/>
      <c r="L562" s="88">
        <f>SUM(F562:K562)</f>
        <v>124761.87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38246.720000000001</v>
      </c>
      <c r="G563" s="18">
        <v>7502.45</v>
      </c>
      <c r="H563" s="18"/>
      <c r="I563" s="18"/>
      <c r="J563" s="18"/>
      <c r="K563" s="18"/>
      <c r="L563" s="88">
        <f>SUM(F563:K563)</f>
        <v>45749.17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>SUM(F562:F564)</f>
        <v>121551.72</v>
      </c>
      <c r="G565" s="89">
        <f>SUM(G562:G564)</f>
        <v>48681.469999999994</v>
      </c>
      <c r="H565" s="89">
        <f t="shared" ref="H565:L565" si="44">SUM(H562:H564)</f>
        <v>0</v>
      </c>
      <c r="I565" s="89">
        <f t="shared" si="44"/>
        <v>277.85000000000002</v>
      </c>
      <c r="J565" s="89">
        <f t="shared" si="44"/>
        <v>0</v>
      </c>
      <c r="K565" s="89">
        <f t="shared" si="44"/>
        <v>0</v>
      </c>
      <c r="L565" s="89">
        <f t="shared" si="44"/>
        <v>170511.03999999998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f>57717.64</f>
        <v>57717.64</v>
      </c>
      <c r="G567" s="18">
        <f>33407.53</f>
        <v>33407.53</v>
      </c>
      <c r="H567" s="18"/>
      <c r="I567" s="18">
        <f>902.77</f>
        <v>902.77</v>
      </c>
      <c r="J567" s="18"/>
      <c r="K567" s="18"/>
      <c r="L567" s="88">
        <f>SUM(F567:K567)</f>
        <v>92027.94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55215</v>
      </c>
      <c r="G568" s="18">
        <v>34824.51</v>
      </c>
      <c r="H568" s="18"/>
      <c r="I568" s="18">
        <v>487.4</v>
      </c>
      <c r="J568" s="18"/>
      <c r="K568" s="18"/>
      <c r="L568" s="88">
        <f>SUM(F568:K568)</f>
        <v>90526.91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112932.64</v>
      </c>
      <c r="G570" s="193">
        <f t="shared" ref="G570:L570" si="45">SUM(G567:G569)</f>
        <v>68232.040000000008</v>
      </c>
      <c r="H570" s="193">
        <f t="shared" si="45"/>
        <v>0</v>
      </c>
      <c r="I570" s="193">
        <f t="shared" si="45"/>
        <v>1390.17</v>
      </c>
      <c r="J570" s="193">
        <f t="shared" si="45"/>
        <v>0</v>
      </c>
      <c r="K570" s="193">
        <f t="shared" si="45"/>
        <v>0</v>
      </c>
      <c r="L570" s="193">
        <f t="shared" si="45"/>
        <v>182554.85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234484.36</v>
      </c>
      <c r="G571" s="89">
        <f t="shared" ref="G571:L571" si="46">G560+G565+G570</f>
        <v>116913.51000000001</v>
      </c>
      <c r="H571" s="89">
        <f t="shared" si="46"/>
        <v>0</v>
      </c>
      <c r="I571" s="89">
        <f t="shared" si="46"/>
        <v>1668.02</v>
      </c>
      <c r="J571" s="89">
        <f t="shared" si="46"/>
        <v>0</v>
      </c>
      <c r="K571" s="89">
        <f t="shared" si="46"/>
        <v>0</v>
      </c>
      <c r="L571" s="89">
        <f t="shared" si="46"/>
        <v>353065.89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4"/>
      <c r="H575" s="18">
        <v>5360160.38</v>
      </c>
      <c r="I575" s="87">
        <f>SUM(F575:H575)</f>
        <v>5360160.38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221000</v>
      </c>
      <c r="I577" s="87">
        <f t="shared" si="47"/>
        <v>221000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4"/>
      <c r="G578" s="4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4"/>
      <c r="G579" s="18">
        <v>7948.48</v>
      </c>
      <c r="H579" s="18">
        <v>1225340.2</v>
      </c>
      <c r="I579" s="87">
        <f>SUM(F579:H579)</f>
        <v>1233288.68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32235</v>
      </c>
      <c r="I580" s="87">
        <f>SUM(F580:H580)</f>
        <v>32235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52153.03</v>
      </c>
      <c r="I581" s="87">
        <f>SUM(F581:H581)</f>
        <v>52153.03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34792</v>
      </c>
      <c r="G582" s="18">
        <v>96776.62</v>
      </c>
      <c r="H582" s="18">
        <v>653773.91</v>
      </c>
      <c r="I582" s="87">
        <f>SUM(F582:H582)</f>
        <v>785342.53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387802.66</v>
      </c>
      <c r="I591" s="18">
        <v>209413.44</v>
      </c>
      <c r="J591" s="18">
        <v>178389.22</v>
      </c>
      <c r="K591" s="104">
        <f t="shared" ref="K591:K597" si="48">SUM(H591:J591)</f>
        <v>775605.32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166127.73000000001</v>
      </c>
      <c r="I592" s="18">
        <v>102504.35</v>
      </c>
      <c r="J592" s="18">
        <v>84831.18</v>
      </c>
      <c r="K592" s="104">
        <f t="shared" si="48"/>
        <v>353463.26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14717.19</v>
      </c>
      <c r="J594" s="18"/>
      <c r="K594" s="104">
        <f t="shared" si="48"/>
        <v>14717.19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6380.99</v>
      </c>
      <c r="I595" s="18">
        <v>7468.7</v>
      </c>
      <c r="J595" s="18"/>
      <c r="K595" s="104">
        <f t="shared" si="48"/>
        <v>13849.689999999999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560311.38</v>
      </c>
      <c r="I598" s="108">
        <f>SUM(I591:I597)</f>
        <v>334103.68000000005</v>
      </c>
      <c r="J598" s="108">
        <f>SUM(J591:J597)</f>
        <v>263220.40000000002</v>
      </c>
      <c r="K598" s="108">
        <f>SUM(K591:K597)</f>
        <v>1157635.46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806+8389.95+419.8+45327.94</f>
        <v>54943.69</v>
      </c>
      <c r="I604" s="18">
        <f>434+1862.78+16560.66</f>
        <v>18857.439999999999</v>
      </c>
      <c r="J604" s="18"/>
      <c r="K604" s="104">
        <f>SUM(H604:J604)</f>
        <v>73801.13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54943.69</v>
      </c>
      <c r="I605" s="108">
        <f>SUM(I602:I604)</f>
        <v>18857.439999999999</v>
      </c>
      <c r="J605" s="108">
        <f>SUM(J602:J604)</f>
        <v>0</v>
      </c>
      <c r="K605" s="108">
        <f>SUM(K602:K604)</f>
        <v>73801.13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20647.7+2850+78546.61</f>
        <v>102044.31</v>
      </c>
      <c r="G611" s="18">
        <f>6723.47+573.27+10942.08</f>
        <v>18238.82</v>
      </c>
      <c r="H611" s="18">
        <f>30597.67</f>
        <v>30597.67</v>
      </c>
      <c r="I611" s="18"/>
      <c r="J611" s="18"/>
      <c r="K611" s="18"/>
      <c r="L611" s="88">
        <f>SUM(F611:K611)</f>
        <v>150880.79999999999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>
        <f>16475.67</f>
        <v>16475.669999999998</v>
      </c>
      <c r="I612" s="18"/>
      <c r="J612" s="18"/>
      <c r="K612" s="18"/>
      <c r="L612" s="88">
        <f>SUM(F612:K612)</f>
        <v>16475.669999999998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102044.31</v>
      </c>
      <c r="G614" s="108">
        <f t="shared" si="49"/>
        <v>18238.82</v>
      </c>
      <c r="H614" s="108">
        <f t="shared" si="49"/>
        <v>47073.34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167356.46999999997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1041061.6300000001</v>
      </c>
      <c r="H617" s="109">
        <f>SUM(F52)</f>
        <v>1041061.63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14443.21</v>
      </c>
      <c r="H618" s="109">
        <f>SUM(G52)</f>
        <v>14443.21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70730.33</v>
      </c>
      <c r="H619" s="109">
        <f>SUM(H52)</f>
        <v>70730.33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331290.03000000003</v>
      </c>
      <c r="H621" s="109">
        <f>SUM(J52)</f>
        <v>331290.03000000003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255512.03</v>
      </c>
      <c r="H622" s="109">
        <f>F476</f>
        <v>255512.02999999747</v>
      </c>
      <c r="I622" s="121" t="s">
        <v>101</v>
      </c>
      <c r="J622" s="109">
        <f t="shared" ref="J622:J655" si="50">G622-H622</f>
        <v>2.5320332497358322E-9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331290.03000000003</v>
      </c>
      <c r="H626" s="109">
        <f>J476</f>
        <v>331290.03000000003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25844592.789999999</v>
      </c>
      <c r="H627" s="104">
        <f>SUM(F468)</f>
        <v>25844592.789999999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581037.6399999999</v>
      </c>
      <c r="H628" s="104">
        <f>SUM(G468)</f>
        <v>581037.64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470960.9</v>
      </c>
      <c r="H629" s="104">
        <f>SUM(H468)</f>
        <v>470960.9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1091.21</v>
      </c>
      <c r="H631" s="104">
        <f>SUM(J468)</f>
        <v>1091.21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26531674.440000001</v>
      </c>
      <c r="H632" s="104">
        <f>SUM(F472)</f>
        <v>26531674.440000001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470960.89999999997</v>
      </c>
      <c r="H633" s="104">
        <f>SUM(H472)</f>
        <v>470960.9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238004.39</v>
      </c>
      <c r="H634" s="104">
        <f>I369</f>
        <v>238004.39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581037.64</v>
      </c>
      <c r="H635" s="104">
        <f>SUM(G472)</f>
        <v>581037.64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1091.21</v>
      </c>
      <c r="H637" s="164">
        <f>SUM(J468)</f>
        <v>1091.21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59547.61</v>
      </c>
      <c r="H638" s="164">
        <f>SUM(J472)</f>
        <v>59547.61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114098.57</v>
      </c>
      <c r="H639" s="104">
        <f>SUM(F461)</f>
        <v>114098.57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217191.46</v>
      </c>
      <c r="H640" s="104">
        <f>SUM(G461)</f>
        <v>217191.46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331290.03000000003</v>
      </c>
      <c r="H642" s="104">
        <f>SUM(I461)</f>
        <v>331290.03000000003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1091.21</v>
      </c>
      <c r="H644" s="104">
        <f>H408</f>
        <v>1091.21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1091.21</v>
      </c>
      <c r="H646" s="104">
        <f>L408</f>
        <v>1091.21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1157635.46</v>
      </c>
      <c r="H647" s="104">
        <f>L208+L226+L244</f>
        <v>1157635.46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73801.13</v>
      </c>
      <c r="H648" s="104">
        <f>(J257+J338)-(J255+J336)</f>
        <v>73801.13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560311.38</v>
      </c>
      <c r="H649" s="104">
        <f>H598</f>
        <v>560311.38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334103.68000000005</v>
      </c>
      <c r="H650" s="104">
        <f>I598</f>
        <v>334103.68000000005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263220.40000000002</v>
      </c>
      <c r="H651" s="104">
        <f>J598</f>
        <v>263220.40000000002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78959.320000000007</v>
      </c>
      <c r="H652" s="104">
        <f>K263+K345</f>
        <v>78959.320000000007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11083209.200000001</v>
      </c>
      <c r="G660" s="19">
        <f>(L229+L309+L359)</f>
        <v>6639875.0799999991</v>
      </c>
      <c r="H660" s="19">
        <f>(L247+L328+L360)</f>
        <v>8245257.3300000001</v>
      </c>
      <c r="I660" s="19">
        <f>SUM(F660:H660)</f>
        <v>25968341.609999999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216364.21584559305</v>
      </c>
      <c r="G661" s="19">
        <f>(L359/IF(SUM(L358:L360)=0,1,SUM(L358:L360))*(SUM(G97:G110)))</f>
        <v>105882.68415440692</v>
      </c>
      <c r="H661" s="19">
        <f>(L360/IF(SUM(L358:L360)=0,1,SUM(L358:L360))*(SUM(G97:G110)))</f>
        <v>0</v>
      </c>
      <c r="I661" s="19">
        <f>SUM(F661:H661)</f>
        <v>322246.89999999997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560311.38</v>
      </c>
      <c r="G662" s="19">
        <f>(L226+L306)-(J226+J306)</f>
        <v>334103.68000000005</v>
      </c>
      <c r="H662" s="19">
        <f>(L244+L325)-(J244+J325)</f>
        <v>263220.40000000002</v>
      </c>
      <c r="I662" s="19">
        <f>SUM(F662:H662)</f>
        <v>1157635.46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240616.49</v>
      </c>
      <c r="G663" s="199">
        <f>SUM(G575:G587)+SUM(I602:I604)+L612</f>
        <v>140058.21</v>
      </c>
      <c r="H663" s="199">
        <f>SUM(H575:H587)+SUM(J602:J604)+L613</f>
        <v>7544662.5200000005</v>
      </c>
      <c r="I663" s="19">
        <f>SUM(F663:H663)</f>
        <v>7925337.2200000007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10065917.114154408</v>
      </c>
      <c r="G664" s="19">
        <f>G660-SUM(G661:G663)</f>
        <v>6059830.5058455924</v>
      </c>
      <c r="H664" s="19">
        <f>H660-SUM(H661:H663)</f>
        <v>437374.40999999922</v>
      </c>
      <c r="I664" s="19">
        <f>I660-SUM(I661:I663)</f>
        <v>16563122.029999999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842.79</v>
      </c>
      <c r="G665" s="248">
        <v>503.87</v>
      </c>
      <c r="H665" s="248"/>
      <c r="I665" s="19">
        <f>SUM(F665:H665)</f>
        <v>1346.6599999999999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11943.56</v>
      </c>
      <c r="G667" s="19">
        <f>ROUND(G664/G665,2)</f>
        <v>12026.58</v>
      </c>
      <c r="H667" s="19" t="e">
        <f>ROUND(H664/H665,2)</f>
        <v>#DIV/0!</v>
      </c>
      <c r="I667" s="19">
        <f>ROUND(I664/I665,2)</f>
        <v>12299.41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-437374.41</v>
      </c>
      <c r="I669" s="19">
        <f>SUM(F669:H669)</f>
        <v>-437374.41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11943.56</v>
      </c>
      <c r="G672" s="19">
        <f>ROUND((G664+G669)/(G665+G670),2)</f>
        <v>12026.58</v>
      </c>
      <c r="H672" s="19" t="e">
        <f>ROUND((H664+H669)/(H665+H670),2)</f>
        <v>#DIV/0!</v>
      </c>
      <c r="I672" s="19">
        <f>ROUND((I664+I669)/(I665+I670),2)</f>
        <v>11974.62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Hooksett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5098652.9500000011</v>
      </c>
      <c r="C9" s="229">
        <f>'DOE25'!G197+'DOE25'!G215+'DOE25'!G233+'DOE25'!G276+'DOE25'!G295+'DOE25'!G314</f>
        <v>2629899.2800000003</v>
      </c>
    </row>
    <row r="10" spans="1:3" x14ac:dyDescent="0.2">
      <c r="A10" t="s">
        <v>779</v>
      </c>
      <c r="B10" s="240">
        <v>4665920.5999999996</v>
      </c>
      <c r="C10" s="240">
        <v>2453950.42</v>
      </c>
    </row>
    <row r="11" spans="1:3" x14ac:dyDescent="0.2">
      <c r="A11" t="s">
        <v>780</v>
      </c>
      <c r="B11" s="240">
        <v>177568.42</v>
      </c>
      <c r="C11" s="240">
        <v>141710.35999999999</v>
      </c>
    </row>
    <row r="12" spans="1:3" x14ac:dyDescent="0.2">
      <c r="A12" t="s">
        <v>781</v>
      </c>
      <c r="B12" s="240">
        <v>255163.93</v>
      </c>
      <c r="C12" s="240">
        <v>34238.5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5098652.9499999993</v>
      </c>
      <c r="C13" s="231">
        <f>SUM(C10:C12)</f>
        <v>2629899.2799999998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1685398.3000000003</v>
      </c>
      <c r="C18" s="229">
        <f>'DOE25'!G198+'DOE25'!G216+'DOE25'!G234+'DOE25'!G277+'DOE25'!G296+'DOE25'!G315</f>
        <v>865636.47</v>
      </c>
    </row>
    <row r="19" spans="1:3" x14ac:dyDescent="0.2">
      <c r="A19" t="s">
        <v>779</v>
      </c>
      <c r="B19" s="240">
        <v>739941.26</v>
      </c>
      <c r="C19" s="240">
        <v>406688.12</v>
      </c>
    </row>
    <row r="20" spans="1:3" x14ac:dyDescent="0.2">
      <c r="A20" t="s">
        <v>780</v>
      </c>
      <c r="B20" s="240">
        <v>641249.96</v>
      </c>
      <c r="C20" s="240">
        <v>366406.29</v>
      </c>
    </row>
    <row r="21" spans="1:3" x14ac:dyDescent="0.2">
      <c r="A21" t="s">
        <v>781</v>
      </c>
      <c r="B21" s="240">
        <v>304207.08</v>
      </c>
      <c r="C21" s="240">
        <v>92542.06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1685398.3</v>
      </c>
      <c r="C22" s="231">
        <f>SUM(C19:C21)</f>
        <v>865636.47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67199.8</v>
      </c>
      <c r="C36" s="235">
        <f>'DOE25'!G200+'DOE25'!G218+'DOE25'!G236+'DOE25'!G279+'DOE25'!G298+'DOE25'!G317</f>
        <v>13070.64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67199.8</v>
      </c>
      <c r="C39" s="240">
        <v>13070.64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67199.8</v>
      </c>
      <c r="C40" s="231">
        <f>SUM(C37:C39)</f>
        <v>13070.64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C25" sqref="C2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Hooksett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18528107.510000002</v>
      </c>
      <c r="D5" s="20">
        <f>SUM('DOE25'!L197:L200)+SUM('DOE25'!L215:L218)+SUM('DOE25'!L233:L236)-F5-G5</f>
        <v>18503726.670000002</v>
      </c>
      <c r="E5" s="243"/>
      <c r="F5" s="255">
        <f>SUM('DOE25'!J197:J200)+SUM('DOE25'!J215:J218)+SUM('DOE25'!J233:J236)</f>
        <v>18358.36</v>
      </c>
      <c r="G5" s="53">
        <f>SUM('DOE25'!K197:K200)+SUM('DOE25'!K215:K218)+SUM('DOE25'!K233:K236)</f>
        <v>6022.48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1342669.03</v>
      </c>
      <c r="D6" s="20">
        <f>'DOE25'!L202+'DOE25'!L220+'DOE25'!L238-F6-G6</f>
        <v>1336804.53</v>
      </c>
      <c r="E6" s="243"/>
      <c r="F6" s="255">
        <f>'DOE25'!J202+'DOE25'!J220+'DOE25'!J238</f>
        <v>684.1</v>
      </c>
      <c r="G6" s="53">
        <f>'DOE25'!K202+'DOE25'!K220+'DOE25'!K238</f>
        <v>5180.4000000000005</v>
      </c>
      <c r="H6" s="259"/>
    </row>
    <row r="7" spans="1:9" x14ac:dyDescent="0.2">
      <c r="A7" s="32">
        <v>2200</v>
      </c>
      <c r="B7" t="s">
        <v>834</v>
      </c>
      <c r="C7" s="245">
        <f t="shared" si="0"/>
        <v>443543.10000000009</v>
      </c>
      <c r="D7" s="20">
        <f>'DOE25'!L203+'DOE25'!L221+'DOE25'!L239-F7-G7</f>
        <v>435888.78000000009</v>
      </c>
      <c r="E7" s="243"/>
      <c r="F7" s="255">
        <f>'DOE25'!J203+'DOE25'!J221+'DOE25'!J239</f>
        <v>6961.48</v>
      </c>
      <c r="G7" s="53">
        <f>'DOE25'!K203+'DOE25'!K221+'DOE25'!K239</f>
        <v>692.83999999999992</v>
      </c>
      <c r="H7" s="259"/>
    </row>
    <row r="8" spans="1:9" x14ac:dyDescent="0.2">
      <c r="A8" s="32">
        <v>2300</v>
      </c>
      <c r="B8" t="s">
        <v>802</v>
      </c>
      <c r="C8" s="245">
        <f t="shared" si="0"/>
        <v>326317.14</v>
      </c>
      <c r="D8" s="243"/>
      <c r="E8" s="20">
        <f>'DOE25'!L204+'DOE25'!L222+'DOE25'!L240-F8-G8-D9-D11</f>
        <v>314620.27</v>
      </c>
      <c r="F8" s="255">
        <f>'DOE25'!J204+'DOE25'!J222+'DOE25'!J240</f>
        <v>1643.98</v>
      </c>
      <c r="G8" s="53">
        <f>'DOE25'!K204+'DOE25'!K222+'DOE25'!K240</f>
        <v>10052.89</v>
      </c>
      <c r="H8" s="259"/>
    </row>
    <row r="9" spans="1:9" x14ac:dyDescent="0.2">
      <c r="A9" s="32">
        <v>2310</v>
      </c>
      <c r="B9" t="s">
        <v>818</v>
      </c>
      <c r="C9" s="245">
        <f t="shared" si="0"/>
        <v>165599.26999999999</v>
      </c>
      <c r="D9" s="244">
        <v>165599.26999999999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16657</v>
      </c>
      <c r="D10" s="243"/>
      <c r="E10" s="244">
        <v>16657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193206.86</v>
      </c>
      <c r="D11" s="244">
        <v>193206.86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1046690.53</v>
      </c>
      <c r="D12" s="20">
        <f>'DOE25'!L205+'DOE25'!L223+'DOE25'!L241-F12-G12</f>
        <v>1038604.55</v>
      </c>
      <c r="E12" s="243"/>
      <c r="F12" s="255">
        <f>'DOE25'!J205+'DOE25'!J223+'DOE25'!J241</f>
        <v>3788.4800000000005</v>
      </c>
      <c r="G12" s="53">
        <f>'DOE25'!K205+'DOE25'!K223+'DOE25'!K241</f>
        <v>4297.5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1496525.7299999997</v>
      </c>
      <c r="D14" s="20">
        <f>'DOE25'!L207+'DOE25'!L225+'DOE25'!L243-F14-G14</f>
        <v>1483035.8299999998</v>
      </c>
      <c r="E14" s="243"/>
      <c r="F14" s="255">
        <f>'DOE25'!J207+'DOE25'!J225+'DOE25'!J243</f>
        <v>13489.9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1157635.46</v>
      </c>
      <c r="D15" s="20">
        <f>'DOE25'!L208+'DOE25'!L226+'DOE25'!L244-F15-G15</f>
        <v>1157635.46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216048.44</v>
      </c>
      <c r="D16" s="243"/>
      <c r="E16" s="20">
        <f>'DOE25'!L209+'DOE25'!L227+'DOE25'!L245-F16-G16</f>
        <v>199086.14</v>
      </c>
      <c r="F16" s="255">
        <f>'DOE25'!J209+'DOE25'!J227+'DOE25'!J245</f>
        <v>16962.3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13222</v>
      </c>
      <c r="D22" s="243"/>
      <c r="E22" s="243"/>
      <c r="F22" s="255">
        <f>'DOE25'!L255+'DOE25'!L336</f>
        <v>13222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1511652.5</v>
      </c>
      <c r="D25" s="243"/>
      <c r="E25" s="243"/>
      <c r="F25" s="258"/>
      <c r="G25" s="256"/>
      <c r="H25" s="257">
        <f>'DOE25'!L260+'DOE25'!L261+'DOE25'!L341+'DOE25'!L342</f>
        <v>1511652.5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361429.11</v>
      </c>
      <c r="D29" s="20">
        <f>'DOE25'!L358+'DOE25'!L359+'DOE25'!L360-'DOE25'!I367-F29-G29</f>
        <v>360487.51</v>
      </c>
      <c r="E29" s="243"/>
      <c r="F29" s="255">
        <f>'DOE25'!J358+'DOE25'!J359+'DOE25'!J360</f>
        <v>941.6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470960.9</v>
      </c>
      <c r="D31" s="20">
        <f>'DOE25'!L290+'DOE25'!L309+'DOE25'!L328+'DOE25'!L333+'DOE25'!L334+'DOE25'!L335-F31-G31</f>
        <v>442535.36</v>
      </c>
      <c r="E31" s="243"/>
      <c r="F31" s="255">
        <f>'DOE25'!J290+'DOE25'!J309+'DOE25'!J328+'DOE25'!J333+'DOE25'!J334+'DOE25'!J335</f>
        <v>11912.529999999999</v>
      </c>
      <c r="G31" s="53">
        <f>'DOE25'!K290+'DOE25'!K309+'DOE25'!K328+'DOE25'!K333+'DOE25'!K334+'DOE25'!K335</f>
        <v>16513.010000000002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25117524.820000004</v>
      </c>
      <c r="E33" s="246">
        <f>SUM(E5:E31)</f>
        <v>530363.41</v>
      </c>
      <c r="F33" s="246">
        <f>SUM(F5:F31)</f>
        <v>87964.73</v>
      </c>
      <c r="G33" s="246">
        <f>SUM(G5:G31)</f>
        <v>42759.12</v>
      </c>
      <c r="H33" s="246">
        <f>SUM(H5:H31)</f>
        <v>1511652.5</v>
      </c>
    </row>
    <row r="35" spans="2:8" ht="12" thickBot="1" x14ac:dyDescent="0.25">
      <c r="B35" s="253" t="s">
        <v>847</v>
      </c>
      <c r="D35" s="254">
        <f>E33</f>
        <v>530363.41</v>
      </c>
      <c r="E35" s="249"/>
    </row>
    <row r="36" spans="2:8" ht="12" thickTop="1" x14ac:dyDescent="0.2">
      <c r="B36" t="s">
        <v>815</v>
      </c>
      <c r="D36" s="20">
        <f>D33</f>
        <v>25117524.820000004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Hooksett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960691.39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67135.520000000004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12459.92</v>
      </c>
      <c r="D12" s="95">
        <f>'DOE25'!G13</f>
        <v>14443.21</v>
      </c>
      <c r="E12" s="95">
        <f>'DOE25'!H13</f>
        <v>70730.33</v>
      </c>
      <c r="F12" s="95">
        <f>'DOE25'!I13</f>
        <v>0</v>
      </c>
      <c r="G12" s="95">
        <f>'DOE25'!J13</f>
        <v>331290.03000000003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774.8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1041061.6300000001</v>
      </c>
      <c r="D18" s="41">
        <f>SUM(D8:D17)</f>
        <v>14443.21</v>
      </c>
      <c r="E18" s="41">
        <f>SUM(E8:E17)</f>
        <v>70730.33</v>
      </c>
      <c r="F18" s="41">
        <f>SUM(F8:F17)</f>
        <v>0</v>
      </c>
      <c r="G18" s="41">
        <f>SUM(G8:G17)</f>
        <v>331290.03000000003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685.97</v>
      </c>
      <c r="E21" s="95">
        <f>'DOE25'!H22</f>
        <v>66449.55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585715.46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162489.42000000001</v>
      </c>
      <c r="D23" s="95">
        <f>'DOE25'!G24</f>
        <v>1139.95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37435.629999999997</v>
      </c>
      <c r="D27" s="95">
        <f>'DOE25'!G28</f>
        <v>1723.29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-90.91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10894</v>
      </c>
      <c r="E29" s="95">
        <f>'DOE25'!H30</f>
        <v>4280.78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785549.6</v>
      </c>
      <c r="D31" s="41">
        <f>SUM(D21:D30)</f>
        <v>14443.21</v>
      </c>
      <c r="E31" s="41">
        <f>SUM(E21:E30)</f>
        <v>70730.33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331290.03000000003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21006.15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234505.88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255512.03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331290.03000000003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1041061.63</v>
      </c>
      <c r="D51" s="41">
        <f>D50+D31</f>
        <v>14443.21</v>
      </c>
      <c r="E51" s="41">
        <f>E50+E31</f>
        <v>70730.33</v>
      </c>
      <c r="F51" s="41">
        <f>F50+F31</f>
        <v>0</v>
      </c>
      <c r="G51" s="41">
        <f>G50+G31</f>
        <v>331290.03000000003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18046941.300000001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27218.7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16616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365.43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1091.21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320549.68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43751.44</v>
      </c>
      <c r="D61" s="95">
        <f>SUM('DOE25'!G98:G110)</f>
        <v>1697.22</v>
      </c>
      <c r="E61" s="95">
        <f>SUM('DOE25'!H98:H110)</f>
        <v>10541.07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87951.57</v>
      </c>
      <c r="D62" s="130">
        <f>SUM(D57:D61)</f>
        <v>322246.89999999997</v>
      </c>
      <c r="E62" s="130">
        <f>SUM(E57:E61)</f>
        <v>10541.07</v>
      </c>
      <c r="F62" s="130">
        <f>SUM(F57:F61)</f>
        <v>0</v>
      </c>
      <c r="G62" s="130">
        <f>SUM(G57:G61)</f>
        <v>1091.21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18134892.870000001</v>
      </c>
      <c r="D63" s="22">
        <f>D56+D62</f>
        <v>322246.89999999997</v>
      </c>
      <c r="E63" s="22">
        <f>E56+E62</f>
        <v>10541.07</v>
      </c>
      <c r="F63" s="22">
        <f>F56+F62</f>
        <v>0</v>
      </c>
      <c r="G63" s="22">
        <f>G56+G62</f>
        <v>1091.21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3319907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3582357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6902264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330172.46000000002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291300.64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7542.42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621473.10000000009</v>
      </c>
      <c r="D78" s="130">
        <f>SUM(D72:D77)</f>
        <v>7542.42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2975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7523737.0999999996</v>
      </c>
      <c r="D81" s="130">
        <f>SUM(D79:D80)+D78+D70</f>
        <v>7542.42</v>
      </c>
      <c r="E81" s="130">
        <f>SUM(E79:E80)+E78+E70</f>
        <v>2975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185962.82</v>
      </c>
      <c r="D88" s="95">
        <f>SUM('DOE25'!G153:G161)</f>
        <v>172289</v>
      </c>
      <c r="E88" s="95">
        <f>SUM('DOE25'!H153:H161)</f>
        <v>457444.83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185962.82</v>
      </c>
      <c r="D91" s="131">
        <f>SUM(D85:D90)</f>
        <v>172289</v>
      </c>
      <c r="E91" s="131">
        <f>SUM(E85:E90)</f>
        <v>457444.83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78959.320000000007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78959.320000000007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25844592.789999999</v>
      </c>
      <c r="D104" s="86">
        <f>D63+D81+D91+D103</f>
        <v>581037.6399999999</v>
      </c>
      <c r="E104" s="86">
        <f>E63+E81+E91+E103</f>
        <v>470960.9</v>
      </c>
      <c r="F104" s="86">
        <f>F63+F81+F91+F103</f>
        <v>0</v>
      </c>
      <c r="G104" s="86">
        <f>G63+G81+G103</f>
        <v>1091.21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13683510.050000001</v>
      </c>
      <c r="D109" s="24" t="s">
        <v>289</v>
      </c>
      <c r="E109" s="95">
        <f>('DOE25'!L276)+('DOE25'!L295)+('DOE25'!L314)</f>
        <v>104377.86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4748939.8800000008</v>
      </c>
      <c r="D110" s="24" t="s">
        <v>289</v>
      </c>
      <c r="E110" s="95">
        <f>('DOE25'!L277)+('DOE25'!L296)+('DOE25'!L315)</f>
        <v>189583.46000000002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95657.58</v>
      </c>
      <c r="D112" s="24" t="s">
        <v>289</v>
      </c>
      <c r="E112" s="95">
        <f>+('DOE25'!L279)+('DOE25'!L298)+('DOE25'!L317)</f>
        <v>5975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18528107.509999998</v>
      </c>
      <c r="D115" s="86">
        <f>SUM(D109:D114)</f>
        <v>0</v>
      </c>
      <c r="E115" s="86">
        <f>SUM(E109:E114)</f>
        <v>299936.32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1342669.03</v>
      </c>
      <c r="D118" s="24" t="s">
        <v>289</v>
      </c>
      <c r="E118" s="95">
        <f>+('DOE25'!L281)+('DOE25'!L300)+('DOE25'!L319)</f>
        <v>113672.73999999999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443543.10000000009</v>
      </c>
      <c r="D119" s="24" t="s">
        <v>289</v>
      </c>
      <c r="E119" s="95">
        <f>+('DOE25'!L282)+('DOE25'!L301)+('DOE25'!L320)</f>
        <v>37794.92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685123.27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1046690.53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16513.010000000002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1496525.7299999997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1157635.46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216048.44</v>
      </c>
      <c r="D125" s="24" t="s">
        <v>289</v>
      </c>
      <c r="E125" s="95">
        <f>+('DOE25'!L288)+('DOE25'!L307)+('DOE25'!L326)</f>
        <v>3043.91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581037.64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6388235.5600000005</v>
      </c>
      <c r="D128" s="86">
        <f>SUM(D118:D127)</f>
        <v>581037.64</v>
      </c>
      <c r="E128" s="86">
        <f>SUM(E118:E127)</f>
        <v>171024.58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13222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1035000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476652.5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78959.320000000007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367.09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724.12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-1091.21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11497.55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1615331.3700000003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26531674.440000001</v>
      </c>
      <c r="D145" s="86">
        <f>(D115+D128+D144)</f>
        <v>581037.64</v>
      </c>
      <c r="E145" s="86">
        <f>(E115+E128+E144)</f>
        <v>470960.9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05/02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30732213.059999999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4.51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10330000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10330000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1511652.5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1511652.5</v>
      </c>
    </row>
    <row r="159" spans="1:9" x14ac:dyDescent="0.2">
      <c r="A159" s="22" t="s">
        <v>35</v>
      </c>
      <c r="B159" s="137">
        <f>'DOE25'!F498</f>
        <v>9295000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9295000</v>
      </c>
    </row>
    <row r="160" spans="1:9" x14ac:dyDescent="0.2">
      <c r="A160" s="22" t="s">
        <v>36</v>
      </c>
      <c r="B160" s="137">
        <f>'DOE25'!F499</f>
        <v>2079560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2079560</v>
      </c>
    </row>
    <row r="161" spans="1:7" x14ac:dyDescent="0.2">
      <c r="A161" s="22" t="s">
        <v>37</v>
      </c>
      <c r="B161" s="137">
        <f>'DOE25'!F500</f>
        <v>11374560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11374560</v>
      </c>
    </row>
    <row r="162" spans="1:7" x14ac:dyDescent="0.2">
      <c r="A162" s="22" t="s">
        <v>38</v>
      </c>
      <c r="B162" s="137">
        <f>'DOE25'!F501</f>
        <v>1035000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1035000</v>
      </c>
    </row>
    <row r="163" spans="1:7" x14ac:dyDescent="0.2">
      <c r="A163" s="22" t="s">
        <v>39</v>
      </c>
      <c r="B163" s="137">
        <f>'DOE25'!F502</f>
        <v>431630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431630</v>
      </c>
    </row>
    <row r="164" spans="1:7" x14ac:dyDescent="0.2">
      <c r="A164" s="22" t="s">
        <v>246</v>
      </c>
      <c r="B164" s="137">
        <f>'DOE25'!F503</f>
        <v>1466630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1466630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Hooksett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11944</v>
      </c>
    </row>
    <row r="5" spans="1:4" x14ac:dyDescent="0.2">
      <c r="B5" t="s">
        <v>704</v>
      </c>
      <c r="C5" s="179">
        <f>IF('DOE25'!G665+'DOE25'!G670=0,0,ROUND('DOE25'!G672,0))</f>
        <v>12027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11975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13787888</v>
      </c>
      <c r="D10" s="182">
        <f>ROUND((C10/$C$28)*100,1)</f>
        <v>52.8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4938523</v>
      </c>
      <c r="D11" s="182">
        <f>ROUND((C11/$C$28)*100,1)</f>
        <v>18.899999999999999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101633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1456342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481338</v>
      </c>
      <c r="D16" s="182">
        <f t="shared" si="0"/>
        <v>1.8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904216</v>
      </c>
      <c r="D17" s="182">
        <f t="shared" si="0"/>
        <v>3.5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1046691</v>
      </c>
      <c r="D18" s="182">
        <f t="shared" si="0"/>
        <v>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16513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1496526</v>
      </c>
      <c r="D20" s="182">
        <f t="shared" si="0"/>
        <v>5.7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1157635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476653</v>
      </c>
      <c r="D25" s="182">
        <f t="shared" si="0"/>
        <v>1.8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11497.55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258791.10000000003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26134246.650000002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13222</v>
      </c>
    </row>
    <row r="30" spans="1:4" x14ac:dyDescent="0.2">
      <c r="B30" s="187" t="s">
        <v>729</v>
      </c>
      <c r="C30" s="180">
        <f>SUM(C28:C29)</f>
        <v>26147468.650000002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1035000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18046941</v>
      </c>
      <c r="D35" s="182">
        <f t="shared" ref="D35:D40" si="1">ROUND((C35/$C$41)*100,1)</f>
        <v>68.099999999999994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99584.150000002235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6902264</v>
      </c>
      <c r="D37" s="182">
        <f t="shared" si="1"/>
        <v>26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631991</v>
      </c>
      <c r="D38" s="182">
        <f t="shared" si="1"/>
        <v>2.4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815697</v>
      </c>
      <c r="D39" s="182">
        <f t="shared" si="1"/>
        <v>3.1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26496477.150000002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Hooksett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2014-09-18T18:15:06Z</cp:lastPrinted>
  <dcterms:created xsi:type="dcterms:W3CDTF">1997-12-04T19:04:30Z</dcterms:created>
  <dcterms:modified xsi:type="dcterms:W3CDTF">2014-10-03T12:26:04Z</dcterms:modified>
</cp:coreProperties>
</file>