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A70A" lockStructure="1"/>
  <bookViews>
    <workbookView xWindow="3540" yWindow="0" windowWidth="2701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7" i="1" l="1"/>
  <c r="H369" i="1" s="1"/>
  <c r="G367" i="1"/>
  <c r="F367" i="1"/>
  <c r="I360" i="1"/>
  <c r="I359" i="1"/>
  <c r="I358" i="1"/>
  <c r="G158" i="1"/>
  <c r="D11" i="13"/>
  <c r="G611" i="1"/>
  <c r="L611" i="1" s="1"/>
  <c r="F613" i="1"/>
  <c r="L613" i="1" s="1"/>
  <c r="F611" i="1"/>
  <c r="G613" i="1"/>
  <c r="G612" i="1"/>
  <c r="L612" i="1" s="1"/>
  <c r="F612" i="1"/>
  <c r="F614" i="1" s="1"/>
  <c r="G564" i="1"/>
  <c r="H592" i="1"/>
  <c r="H598" i="1" s="1"/>
  <c r="H595" i="1"/>
  <c r="H528" i="1"/>
  <c r="H527" i="1"/>
  <c r="H526" i="1"/>
  <c r="H529" i="1" s="1"/>
  <c r="G528" i="1"/>
  <c r="G527" i="1"/>
  <c r="G526" i="1"/>
  <c r="F528" i="1"/>
  <c r="F527" i="1"/>
  <c r="F526" i="1"/>
  <c r="J528" i="1"/>
  <c r="J527" i="1"/>
  <c r="J526" i="1"/>
  <c r="I528" i="1"/>
  <c r="I527" i="1"/>
  <c r="I526" i="1"/>
  <c r="I529" i="1" s="1"/>
  <c r="K523" i="1"/>
  <c r="K524" i="1" s="1"/>
  <c r="K522" i="1"/>
  <c r="K521" i="1"/>
  <c r="J523" i="1"/>
  <c r="J522" i="1"/>
  <c r="I522" i="1"/>
  <c r="I521" i="1"/>
  <c r="I524" i="1" s="1"/>
  <c r="I545" i="1" s="1"/>
  <c r="H521" i="1"/>
  <c r="F523" i="1"/>
  <c r="F522" i="1"/>
  <c r="L277" i="1"/>
  <c r="F295" i="1"/>
  <c r="J276" i="1"/>
  <c r="I276" i="1"/>
  <c r="G276" i="1"/>
  <c r="F276" i="1"/>
  <c r="H198" i="1"/>
  <c r="G162" i="1"/>
  <c r="L358" i="1"/>
  <c r="L360" i="1"/>
  <c r="H360" i="1"/>
  <c r="H359" i="1"/>
  <c r="H358" i="1"/>
  <c r="F439" i="1"/>
  <c r="G459" i="1"/>
  <c r="G460" i="1" s="1"/>
  <c r="G461" i="1" s="1"/>
  <c r="H640" i="1" s="1"/>
  <c r="G439" i="1"/>
  <c r="H514" i="1"/>
  <c r="H512" i="1"/>
  <c r="H517" i="1" s="1"/>
  <c r="F499" i="1"/>
  <c r="F500" i="1" s="1"/>
  <c r="B161" i="2" s="1"/>
  <c r="F498" i="1"/>
  <c r="J198" i="1"/>
  <c r="J521" i="1" s="1"/>
  <c r="J524" i="1" s="1"/>
  <c r="I198" i="1"/>
  <c r="I244" i="1"/>
  <c r="H244" i="1"/>
  <c r="G244" i="1"/>
  <c r="F244" i="1"/>
  <c r="L244" i="1" s="1"/>
  <c r="H662" i="1" s="1"/>
  <c r="I226" i="1"/>
  <c r="I229" i="1" s="1"/>
  <c r="H226" i="1"/>
  <c r="G226" i="1"/>
  <c r="F226" i="1"/>
  <c r="L226" i="1" s="1"/>
  <c r="G650" i="1" s="1"/>
  <c r="H208" i="1"/>
  <c r="G208" i="1"/>
  <c r="F208" i="1"/>
  <c r="J243" i="1"/>
  <c r="I243" i="1"/>
  <c r="H243" i="1"/>
  <c r="G243" i="1"/>
  <c r="F243" i="1"/>
  <c r="J225" i="1"/>
  <c r="I225" i="1"/>
  <c r="H225" i="1"/>
  <c r="G225" i="1"/>
  <c r="F225" i="1"/>
  <c r="J207" i="1"/>
  <c r="I207" i="1"/>
  <c r="H207" i="1"/>
  <c r="L207" i="1" s="1"/>
  <c r="G207" i="1"/>
  <c r="F207" i="1"/>
  <c r="H240" i="1"/>
  <c r="H222" i="1"/>
  <c r="L222" i="1" s="1"/>
  <c r="E8" i="13" s="1"/>
  <c r="C8" i="13" s="1"/>
  <c r="H204" i="1"/>
  <c r="K239" i="1"/>
  <c r="J239" i="1"/>
  <c r="I239" i="1"/>
  <c r="H239" i="1"/>
  <c r="G239" i="1"/>
  <c r="F239" i="1"/>
  <c r="K221" i="1"/>
  <c r="K229" i="1" s="1"/>
  <c r="J221" i="1"/>
  <c r="I221" i="1"/>
  <c r="H221" i="1"/>
  <c r="G221" i="1"/>
  <c r="F221" i="1"/>
  <c r="K203" i="1"/>
  <c r="J203" i="1"/>
  <c r="I203" i="1"/>
  <c r="H203" i="1"/>
  <c r="G203" i="1"/>
  <c r="F203" i="1"/>
  <c r="J238" i="1"/>
  <c r="I238" i="1"/>
  <c r="H238" i="1"/>
  <c r="G238" i="1"/>
  <c r="F238" i="1"/>
  <c r="L238" i="1" s="1"/>
  <c r="J220" i="1"/>
  <c r="I220" i="1"/>
  <c r="H220" i="1"/>
  <c r="G220" i="1"/>
  <c r="G229" i="1" s="1"/>
  <c r="G257" i="1" s="1"/>
  <c r="G271" i="1" s="1"/>
  <c r="F220" i="1"/>
  <c r="J202" i="1"/>
  <c r="I202" i="1"/>
  <c r="H202" i="1"/>
  <c r="L202" i="1" s="1"/>
  <c r="G202" i="1"/>
  <c r="F202" i="1"/>
  <c r="I234" i="1"/>
  <c r="I523" i="1" s="1"/>
  <c r="H234" i="1"/>
  <c r="G234" i="1"/>
  <c r="G247" i="1" s="1"/>
  <c r="F234" i="1"/>
  <c r="I216" i="1"/>
  <c r="H216" i="1"/>
  <c r="G216" i="1"/>
  <c r="G522" i="1" s="1"/>
  <c r="F216" i="1"/>
  <c r="G198" i="1"/>
  <c r="G521" i="1" s="1"/>
  <c r="F198" i="1"/>
  <c r="J233" i="1"/>
  <c r="H233" i="1"/>
  <c r="G233" i="1"/>
  <c r="F233" i="1"/>
  <c r="J215" i="1"/>
  <c r="F5" i="13" s="1"/>
  <c r="H215" i="1"/>
  <c r="G215" i="1"/>
  <c r="F215" i="1"/>
  <c r="K197" i="1"/>
  <c r="J197" i="1"/>
  <c r="I197" i="1"/>
  <c r="H197" i="1"/>
  <c r="L197" i="1" s="1"/>
  <c r="G197" i="1"/>
  <c r="G211" i="1" s="1"/>
  <c r="F197" i="1"/>
  <c r="H135" i="1"/>
  <c r="H155" i="1"/>
  <c r="H98" i="1"/>
  <c r="H110" i="1"/>
  <c r="G132" i="1"/>
  <c r="F98" i="1"/>
  <c r="H23" i="1"/>
  <c r="F50" i="1"/>
  <c r="C45" i="2"/>
  <c r="G51" i="1"/>
  <c r="F51" i="1"/>
  <c r="G622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D50" i="2" s="1"/>
  <c r="D51" i="2" s="1"/>
  <c r="C36" i="2"/>
  <c r="I455" i="1"/>
  <c r="J45" i="1" s="1"/>
  <c r="G44" i="2"/>
  <c r="I458" i="1"/>
  <c r="J39" i="1" s="1"/>
  <c r="G38" i="2" s="1"/>
  <c r="C68" i="2"/>
  <c r="B2" i="13"/>
  <c r="F8" i="13"/>
  <c r="G8" i="13"/>
  <c r="L204" i="1"/>
  <c r="L240" i="1"/>
  <c r="D39" i="13"/>
  <c r="F13" i="13"/>
  <c r="G13" i="13"/>
  <c r="L206" i="1"/>
  <c r="L224" i="1"/>
  <c r="L242" i="1"/>
  <c r="F16" i="13"/>
  <c r="G16" i="13"/>
  <c r="L209" i="1"/>
  <c r="L227" i="1"/>
  <c r="C125" i="2" s="1"/>
  <c r="L245" i="1"/>
  <c r="L199" i="1"/>
  <c r="L200" i="1"/>
  <c r="L217" i="1"/>
  <c r="C111" i="2" s="1"/>
  <c r="L218" i="1"/>
  <c r="L235" i="1"/>
  <c r="L236" i="1"/>
  <c r="G6" i="13"/>
  <c r="F7" i="13"/>
  <c r="L239" i="1"/>
  <c r="F12" i="13"/>
  <c r="G12" i="13"/>
  <c r="L205" i="1"/>
  <c r="L223" i="1"/>
  <c r="L241" i="1"/>
  <c r="G14" i="13"/>
  <c r="L225" i="1"/>
  <c r="F15" i="13"/>
  <c r="G15" i="13"/>
  <c r="L208" i="1"/>
  <c r="F17" i="13"/>
  <c r="D17" i="13" s="1"/>
  <c r="G17" i="13"/>
  <c r="L251" i="1"/>
  <c r="F18" i="13"/>
  <c r="G18" i="13"/>
  <c r="L252" i="1"/>
  <c r="F19" i="13"/>
  <c r="G19" i="13"/>
  <c r="L253" i="1"/>
  <c r="F29" i="13"/>
  <c r="G29" i="13"/>
  <c r="J290" i="1"/>
  <c r="J309" i="1"/>
  <c r="F31" i="13" s="1"/>
  <c r="J328" i="1"/>
  <c r="K290" i="1"/>
  <c r="K309" i="1"/>
  <c r="K328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13" i="12"/>
  <c r="C13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C40" i="10"/>
  <c r="F60" i="1"/>
  <c r="G60" i="1"/>
  <c r="H60" i="1"/>
  <c r="I60" i="1"/>
  <c r="F79" i="1"/>
  <c r="C57" i="2" s="1"/>
  <c r="F94" i="1"/>
  <c r="G111" i="1"/>
  <c r="G112" i="1"/>
  <c r="H79" i="1"/>
  <c r="H94" i="1"/>
  <c r="H111" i="1"/>
  <c r="I111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9" i="1" s="1"/>
  <c r="H147" i="1"/>
  <c r="I147" i="1"/>
  <c r="F85" i="2" s="1"/>
  <c r="F91" i="2" s="1"/>
  <c r="I162" i="1"/>
  <c r="C13" i="10"/>
  <c r="C17" i="10"/>
  <c r="L250" i="1"/>
  <c r="C113" i="2" s="1"/>
  <c r="L332" i="1"/>
  <c r="L254" i="1"/>
  <c r="L268" i="1"/>
  <c r="L269" i="1"/>
  <c r="L349" i="1"/>
  <c r="L350" i="1"/>
  <c r="E143" i="2" s="1"/>
  <c r="I665" i="1"/>
  <c r="I670" i="1"/>
  <c r="F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L351" i="1" s="1"/>
  <c r="K351" i="1"/>
  <c r="L526" i="1"/>
  <c r="L528" i="1"/>
  <c r="G551" i="1" s="1"/>
  <c r="L531" i="1"/>
  <c r="H549" i="1"/>
  <c r="H552" i="1" s="1"/>
  <c r="L532" i="1"/>
  <c r="H550" i="1" s="1"/>
  <c r="L533" i="1"/>
  <c r="H551" i="1"/>
  <c r="L536" i="1"/>
  <c r="I549" i="1" s="1"/>
  <c r="I552" i="1" s="1"/>
  <c r="L537" i="1"/>
  <c r="I550" i="1"/>
  <c r="L538" i="1"/>
  <c r="I551" i="1" s="1"/>
  <c r="L541" i="1"/>
  <c r="J549" i="1"/>
  <c r="L542" i="1"/>
  <c r="L543" i="1"/>
  <c r="J592" i="1" s="1"/>
  <c r="J598" i="1" s="1"/>
  <c r="J551" i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E18" i="2" s="1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 s="1"/>
  <c r="C21" i="2"/>
  <c r="D21" i="2"/>
  <c r="E21" i="2"/>
  <c r="F21" i="2"/>
  <c r="I448" i="1"/>
  <c r="J22" i="1"/>
  <c r="C22" i="2"/>
  <c r="D22" i="2"/>
  <c r="F22" i="2"/>
  <c r="I449" i="1"/>
  <c r="J23" i="1" s="1"/>
  <c r="C23" i="2"/>
  <c r="D23" i="2"/>
  <c r="D31" i="2" s="1"/>
  <c r="E23" i="2"/>
  <c r="F23" i="2"/>
  <c r="I450" i="1"/>
  <c r="J24" i="1"/>
  <c r="G23" i="2" s="1"/>
  <c r="G31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/>
  <c r="G42" i="2" s="1"/>
  <c r="I457" i="1"/>
  <c r="J37" i="1"/>
  <c r="C49" i="2"/>
  <c r="D56" i="2"/>
  <c r="E56" i="2"/>
  <c r="E57" i="2"/>
  <c r="C58" i="2"/>
  <c r="E58" i="2"/>
  <c r="C59" i="2"/>
  <c r="D59" i="2"/>
  <c r="E59" i="2"/>
  <c r="F59" i="2"/>
  <c r="D60" i="2"/>
  <c r="D62" i="2" s="1"/>
  <c r="D63" i="2" s="1"/>
  <c r="D61" i="2"/>
  <c r="E61" i="2"/>
  <c r="F61" i="2"/>
  <c r="C66" i="2"/>
  <c r="C67" i="2"/>
  <c r="C69" i="2"/>
  <c r="C70" i="2" s="1"/>
  <c r="D69" i="2"/>
  <c r="D70" i="2"/>
  <c r="E69" i="2"/>
  <c r="E70" i="2"/>
  <c r="F69" i="2"/>
  <c r="F70" i="2"/>
  <c r="G69" i="2"/>
  <c r="G70" i="2"/>
  <c r="C72" i="2"/>
  <c r="F72" i="2"/>
  <c r="C73" i="2"/>
  <c r="F73" i="2"/>
  <c r="F78" i="2" s="1"/>
  <c r="F81" i="2" s="1"/>
  <c r="C74" i="2"/>
  <c r="C75" i="2"/>
  <c r="C76" i="2"/>
  <c r="E76" i="2"/>
  <c r="F76" i="2"/>
  <c r="C77" i="2"/>
  <c r="D77" i="2"/>
  <c r="D78" i="2"/>
  <c r="D81" i="2" s="1"/>
  <c r="D104" i="2" s="1"/>
  <c r="E77" i="2"/>
  <c r="F77" i="2"/>
  <c r="G77" i="2"/>
  <c r="G78" i="2"/>
  <c r="G81" i="2" s="1"/>
  <c r="G104" i="2" s="1"/>
  <c r="C79" i="2"/>
  <c r="D79" i="2"/>
  <c r="E79" i="2"/>
  <c r="C80" i="2"/>
  <c r="E80" i="2"/>
  <c r="C85" i="2"/>
  <c r="D85" i="2"/>
  <c r="E85" i="2"/>
  <c r="C87" i="2"/>
  <c r="C91" i="2" s="1"/>
  <c r="E87" i="2"/>
  <c r="F87" i="2"/>
  <c r="C88" i="2"/>
  <c r="D88" i="2"/>
  <c r="D91" i="2" s="1"/>
  <c r="F88" i="2"/>
  <c r="C89" i="2"/>
  <c r="D89" i="2"/>
  <c r="E89" i="2"/>
  <c r="F89" i="2"/>
  <c r="C90" i="2"/>
  <c r="C93" i="2"/>
  <c r="C103" i="2" s="1"/>
  <c r="F93" i="2"/>
  <c r="C94" i="2"/>
  <c r="F94" i="2"/>
  <c r="D96" i="2"/>
  <c r="E96" i="2"/>
  <c r="F96" i="2"/>
  <c r="G96" i="2"/>
  <c r="C97" i="2"/>
  <c r="D97" i="2"/>
  <c r="E97" i="2"/>
  <c r="F97" i="2"/>
  <c r="G97" i="2"/>
  <c r="G103" i="2" s="1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C112" i="2"/>
  <c r="E112" i="2"/>
  <c r="E113" i="2"/>
  <c r="D115" i="2"/>
  <c r="F115" i="2"/>
  <c r="G115" i="2"/>
  <c r="E119" i="2"/>
  <c r="C120" i="2"/>
  <c r="E120" i="2"/>
  <c r="E121" i="2"/>
  <c r="C122" i="2"/>
  <c r="E123" i="2"/>
  <c r="E124" i="2"/>
  <c r="E125" i="2"/>
  <c r="F128" i="2"/>
  <c r="G128" i="2"/>
  <c r="C130" i="2"/>
  <c r="D134" i="2"/>
  <c r="D144" i="2" s="1"/>
  <c r="E134" i="2"/>
  <c r="F134" i="2"/>
  <c r="K419" i="1"/>
  <c r="K434" i="1" s="1"/>
  <c r="K427" i="1"/>
  <c r="K433" i="1"/>
  <c r="L263" i="1"/>
  <c r="C135" i="2" s="1"/>
  <c r="E135" i="2"/>
  <c r="L264" i="1"/>
  <c r="C136" i="2"/>
  <c r="L265" i="1"/>
  <c r="C137" i="2" s="1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G158" i="2" s="1"/>
  <c r="D158" i="2"/>
  <c r="E158" i="2"/>
  <c r="F158" i="2"/>
  <c r="B159" i="2"/>
  <c r="C159" i="2"/>
  <c r="D159" i="2"/>
  <c r="E159" i="2"/>
  <c r="F159" i="2"/>
  <c r="B160" i="2"/>
  <c r="C160" i="2"/>
  <c r="D160" i="2"/>
  <c r="E160" i="2"/>
  <c r="G160" i="2" s="1"/>
  <c r="F160" i="2"/>
  <c r="G500" i="1"/>
  <c r="C161" i="2"/>
  <c r="G161" i="2" s="1"/>
  <c r="H500" i="1"/>
  <c r="D161" i="2"/>
  <c r="I500" i="1"/>
  <c r="E161" i="2"/>
  <c r="J500" i="1"/>
  <c r="F161" i="2"/>
  <c r="B162" i="2"/>
  <c r="C162" i="2"/>
  <c r="G162" i="2" s="1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617" i="1" s="1"/>
  <c r="G19" i="1"/>
  <c r="G618" i="1" s="1"/>
  <c r="H19" i="1"/>
  <c r="I19" i="1"/>
  <c r="F32" i="1"/>
  <c r="F52" i="1"/>
  <c r="H617" i="1" s="1"/>
  <c r="J617" i="1" s="1"/>
  <c r="G32" i="1"/>
  <c r="I32" i="1"/>
  <c r="I52" i="1" s="1"/>
  <c r="H51" i="1"/>
  <c r="G624" i="1" s="1"/>
  <c r="I51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J211" i="1"/>
  <c r="F229" i="1"/>
  <c r="J229" i="1"/>
  <c r="H247" i="1"/>
  <c r="I247" i="1"/>
  <c r="K247" i="1"/>
  <c r="F256" i="1"/>
  <c r="G256" i="1"/>
  <c r="H256" i="1"/>
  <c r="I256" i="1"/>
  <c r="J256" i="1"/>
  <c r="K256" i="1"/>
  <c r="L270" i="1"/>
  <c r="F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J362" i="1"/>
  <c r="K362" i="1"/>
  <c r="I368" i="1"/>
  <c r="F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G446" i="1"/>
  <c r="H446" i="1"/>
  <c r="F452" i="1"/>
  <c r="G452" i="1"/>
  <c r="H452" i="1"/>
  <c r="H461" i="1" s="1"/>
  <c r="H641" i="1" s="1"/>
  <c r="J641" i="1" s="1"/>
  <c r="I452" i="1"/>
  <c r="H460" i="1"/>
  <c r="I470" i="1"/>
  <c r="I476" i="1" s="1"/>
  <c r="H625" i="1" s="1"/>
  <c r="I474" i="1"/>
  <c r="K495" i="1"/>
  <c r="K496" i="1"/>
  <c r="K497" i="1"/>
  <c r="K498" i="1"/>
  <c r="K499" i="1"/>
  <c r="K500" i="1"/>
  <c r="K501" i="1"/>
  <c r="K502" i="1"/>
  <c r="K503" i="1"/>
  <c r="F517" i="1"/>
  <c r="G517" i="1"/>
  <c r="I517" i="1"/>
  <c r="F529" i="1"/>
  <c r="G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G571" i="1" s="1"/>
  <c r="H565" i="1"/>
  <c r="I565" i="1"/>
  <c r="J565" i="1"/>
  <c r="K565" i="1"/>
  <c r="L567" i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3" i="1"/>
  <c r="K594" i="1"/>
  <c r="K595" i="1"/>
  <c r="K596" i="1"/>
  <c r="K597" i="1"/>
  <c r="H649" i="1"/>
  <c r="H651" i="1"/>
  <c r="K602" i="1"/>
  <c r="K603" i="1"/>
  <c r="H614" i="1"/>
  <c r="I614" i="1"/>
  <c r="J614" i="1"/>
  <c r="K614" i="1"/>
  <c r="G619" i="1"/>
  <c r="G620" i="1"/>
  <c r="J620" i="1" s="1"/>
  <c r="G625" i="1"/>
  <c r="H630" i="1"/>
  <c r="H636" i="1"/>
  <c r="G640" i="1"/>
  <c r="G641" i="1"/>
  <c r="G643" i="1"/>
  <c r="H643" i="1"/>
  <c r="J643" i="1" s="1"/>
  <c r="G644" i="1"/>
  <c r="G645" i="1"/>
  <c r="H645" i="1"/>
  <c r="G651" i="1"/>
  <c r="J651" i="1" s="1"/>
  <c r="G652" i="1"/>
  <c r="H652" i="1"/>
  <c r="G653" i="1"/>
  <c r="H653" i="1"/>
  <c r="J653" i="1" s="1"/>
  <c r="G654" i="1"/>
  <c r="H654" i="1"/>
  <c r="H655" i="1"/>
  <c r="F192" i="1"/>
  <c r="G164" i="2"/>
  <c r="C18" i="2"/>
  <c r="A31" i="12"/>
  <c r="D18" i="13"/>
  <c r="C18" i="13"/>
  <c r="C17" i="13"/>
  <c r="C78" i="2"/>
  <c r="G156" i="2"/>
  <c r="E103" i="2"/>
  <c r="E62" i="2"/>
  <c r="E63" i="2"/>
  <c r="E13" i="13"/>
  <c r="C13" i="13" s="1"/>
  <c r="E78" i="2"/>
  <c r="E81" i="2" s="1"/>
  <c r="L427" i="1"/>
  <c r="H112" i="1"/>
  <c r="K571" i="1"/>
  <c r="L433" i="1"/>
  <c r="L419" i="1"/>
  <c r="J644" i="1"/>
  <c r="J625" i="1"/>
  <c r="F169" i="1"/>
  <c r="J140" i="1"/>
  <c r="F571" i="1"/>
  <c r="G22" i="2"/>
  <c r="K545" i="1"/>
  <c r="C29" i="10"/>
  <c r="H140" i="1"/>
  <c r="C139" i="2"/>
  <c r="L393" i="1"/>
  <c r="L408" i="1" s="1"/>
  <c r="H25" i="13"/>
  <c r="H33" i="13" s="1"/>
  <c r="C25" i="13"/>
  <c r="H571" i="1"/>
  <c r="H338" i="1"/>
  <c r="H352" i="1"/>
  <c r="G192" i="1"/>
  <c r="H192" i="1"/>
  <c r="L309" i="1"/>
  <c r="E16" i="13"/>
  <c r="C16" i="13" s="1"/>
  <c r="E33" i="13"/>
  <c r="D35" i="13" s="1"/>
  <c r="J655" i="1"/>
  <c r="J645" i="1"/>
  <c r="L570" i="1"/>
  <c r="I571" i="1"/>
  <c r="G36" i="2"/>
  <c r="L337" i="1"/>
  <c r="F62" i="2"/>
  <c r="G163" i="2"/>
  <c r="G159" i="2"/>
  <c r="E50" i="2"/>
  <c r="C50" i="2"/>
  <c r="F31" i="2"/>
  <c r="F50" i="2"/>
  <c r="F51" i="2" s="1"/>
  <c r="G31" i="13"/>
  <c r="L407" i="1"/>
  <c r="C140" i="2" s="1"/>
  <c r="I192" i="1"/>
  <c r="J654" i="1"/>
  <c r="G21" i="2"/>
  <c r="L434" i="1"/>
  <c r="J434" i="1"/>
  <c r="F434" i="1"/>
  <c r="G134" i="2"/>
  <c r="G144" i="2" s="1"/>
  <c r="G145" i="2" s="1"/>
  <c r="J193" i="1"/>
  <c r="G646" i="1"/>
  <c r="G140" i="1"/>
  <c r="F140" i="1"/>
  <c r="G63" i="2"/>
  <c r="G16" i="2"/>
  <c r="H434" i="1"/>
  <c r="D103" i="2"/>
  <c r="I140" i="1"/>
  <c r="J652" i="1"/>
  <c r="I434" i="1"/>
  <c r="G434" i="1"/>
  <c r="G631" i="1"/>
  <c r="C38" i="10"/>
  <c r="C109" i="2" l="1"/>
  <c r="C123" i="2"/>
  <c r="D14" i="13"/>
  <c r="C14" i="13" s="1"/>
  <c r="C62" i="2"/>
  <c r="J468" i="1"/>
  <c r="H646" i="1"/>
  <c r="J646" i="1" s="1"/>
  <c r="F338" i="1"/>
  <c r="F352" i="1" s="1"/>
  <c r="L614" i="1"/>
  <c r="J32" i="1"/>
  <c r="J640" i="1"/>
  <c r="I338" i="1"/>
  <c r="I352" i="1" s="1"/>
  <c r="C31" i="2"/>
  <c r="C51" i="2" s="1"/>
  <c r="C142" i="2"/>
  <c r="C26" i="10"/>
  <c r="F111" i="1"/>
  <c r="C61" i="2"/>
  <c r="L215" i="1"/>
  <c r="B9" i="12"/>
  <c r="A13" i="12" s="1"/>
  <c r="F521" i="1"/>
  <c r="F211" i="1"/>
  <c r="L198" i="1"/>
  <c r="B18" i="12"/>
  <c r="A22" i="12" s="1"/>
  <c r="H229" i="1"/>
  <c r="H522" i="1"/>
  <c r="H523" i="1"/>
  <c r="L234" i="1"/>
  <c r="L243" i="1"/>
  <c r="C20" i="10" s="1"/>
  <c r="I211" i="1"/>
  <c r="I257" i="1" s="1"/>
  <c r="I271" i="1" s="1"/>
  <c r="F446" i="1"/>
  <c r="G639" i="1" s="1"/>
  <c r="F459" i="1"/>
  <c r="L522" i="1"/>
  <c r="F550" i="1" s="1"/>
  <c r="I604" i="1"/>
  <c r="I605" i="1" s="1"/>
  <c r="G637" i="1"/>
  <c r="C23" i="10"/>
  <c r="C138" i="2"/>
  <c r="C141" i="2" s="1"/>
  <c r="H193" i="1"/>
  <c r="H647" i="1"/>
  <c r="G614" i="1"/>
  <c r="H211" i="1"/>
  <c r="I439" i="1"/>
  <c r="G662" i="1"/>
  <c r="I662" i="1" s="1"/>
  <c r="E130" i="2"/>
  <c r="E144" i="2" s="1"/>
  <c r="F22" i="13"/>
  <c r="C22" i="13" s="1"/>
  <c r="C132" i="2"/>
  <c r="C144" i="2" s="1"/>
  <c r="C25" i="10"/>
  <c r="L328" i="1"/>
  <c r="E122" i="2"/>
  <c r="E118" i="2"/>
  <c r="E128" i="2" s="1"/>
  <c r="K338" i="1"/>
  <c r="K352" i="1" s="1"/>
  <c r="J338" i="1"/>
  <c r="J352" i="1" s="1"/>
  <c r="H604" i="1"/>
  <c r="G649" i="1"/>
  <c r="J649" i="1" s="1"/>
  <c r="C124" i="2"/>
  <c r="D15" i="13"/>
  <c r="C15" i="13" s="1"/>
  <c r="C21" i="10"/>
  <c r="G7" i="13"/>
  <c r="C12" i="10"/>
  <c r="J545" i="1"/>
  <c r="G290" i="1"/>
  <c r="G338" i="1" s="1"/>
  <c r="G352" i="1" s="1"/>
  <c r="C9" i="12"/>
  <c r="J472" i="1"/>
  <c r="G638" i="1"/>
  <c r="G549" i="1"/>
  <c r="C56" i="2"/>
  <c r="C63" i="2" s="1"/>
  <c r="C104" i="2" s="1"/>
  <c r="F112" i="1"/>
  <c r="F193" i="1" s="1"/>
  <c r="G663" i="1"/>
  <c r="I169" i="1"/>
  <c r="L571" i="1"/>
  <c r="F103" i="2"/>
  <c r="D18" i="2"/>
  <c r="G193" i="1"/>
  <c r="I112" i="1"/>
  <c r="F56" i="2"/>
  <c r="F63" i="2" s="1"/>
  <c r="F104" i="2" s="1"/>
  <c r="D19" i="13"/>
  <c r="C19" i="13" s="1"/>
  <c r="C24" i="10"/>
  <c r="C121" i="2"/>
  <c r="C18" i="10"/>
  <c r="G52" i="1"/>
  <c r="H618" i="1" s="1"/>
  <c r="J618" i="1" s="1"/>
  <c r="G623" i="1"/>
  <c r="H162" i="1"/>
  <c r="H169" i="1" s="1"/>
  <c r="E88" i="2"/>
  <c r="E91" i="2" s="1"/>
  <c r="E104" i="2" s="1"/>
  <c r="F247" i="1"/>
  <c r="L233" i="1"/>
  <c r="C35" i="10"/>
  <c r="C81" i="2"/>
  <c r="D12" i="13"/>
  <c r="C12" i="13" s="1"/>
  <c r="F18" i="2"/>
  <c r="L362" i="1"/>
  <c r="F661" i="1"/>
  <c r="L256" i="1"/>
  <c r="J550" i="1"/>
  <c r="J552" i="1" s="1"/>
  <c r="I592" i="1"/>
  <c r="L544" i="1"/>
  <c r="F130" i="2"/>
  <c r="F144" i="2" s="1"/>
  <c r="F145" i="2" s="1"/>
  <c r="L382" i="1"/>
  <c r="G636" i="1" s="1"/>
  <c r="J636" i="1" s="1"/>
  <c r="L216" i="1"/>
  <c r="G523" i="1"/>
  <c r="G524" i="1" s="1"/>
  <c r="G545" i="1" s="1"/>
  <c r="L527" i="1"/>
  <c r="G550" i="1" s="1"/>
  <c r="C114" i="2"/>
  <c r="C19" i="10"/>
  <c r="E22" i="2"/>
  <c r="E31" i="2" s="1"/>
  <c r="E51" i="2" s="1"/>
  <c r="H32" i="1"/>
  <c r="H52" i="1" s="1"/>
  <c r="H619" i="1" s="1"/>
  <c r="J619" i="1" s="1"/>
  <c r="G5" i="13"/>
  <c r="K211" i="1"/>
  <c r="K257" i="1" s="1"/>
  <c r="K271" i="1" s="1"/>
  <c r="J247" i="1"/>
  <c r="L220" i="1"/>
  <c r="D6" i="13" s="1"/>
  <c r="C6" i="13" s="1"/>
  <c r="F6" i="13"/>
  <c r="L203" i="1"/>
  <c r="L221" i="1"/>
  <c r="F14" i="13"/>
  <c r="L359" i="1"/>
  <c r="L276" i="1"/>
  <c r="H524" i="1"/>
  <c r="H545" i="1" s="1"/>
  <c r="I362" i="1"/>
  <c r="G634" i="1" s="1"/>
  <c r="I367" i="1"/>
  <c r="I369" i="1" s="1"/>
  <c r="H634" i="1" s="1"/>
  <c r="G369" i="1"/>
  <c r="F460" i="1" l="1"/>
  <c r="F461" i="1" s="1"/>
  <c r="H639" i="1" s="1"/>
  <c r="J639" i="1" s="1"/>
  <c r="I459" i="1"/>
  <c r="E109" i="2"/>
  <c r="E115" i="2" s="1"/>
  <c r="E145" i="2" s="1"/>
  <c r="L290" i="1"/>
  <c r="C16" i="10"/>
  <c r="C119" i="2"/>
  <c r="D7" i="13"/>
  <c r="C7" i="13" s="1"/>
  <c r="I598" i="1"/>
  <c r="H650" i="1" s="1"/>
  <c r="J650" i="1" s="1"/>
  <c r="K592" i="1"/>
  <c r="K598" i="1" s="1"/>
  <c r="G647" i="1" s="1"/>
  <c r="J647" i="1" s="1"/>
  <c r="G635" i="1"/>
  <c r="C27" i="10"/>
  <c r="G472" i="1"/>
  <c r="C118" i="2"/>
  <c r="C128" i="2" s="1"/>
  <c r="L529" i="1"/>
  <c r="H638" i="1"/>
  <c r="J638" i="1" s="1"/>
  <c r="J474" i="1"/>
  <c r="F663" i="1"/>
  <c r="H605" i="1"/>
  <c r="J9" i="1"/>
  <c r="I446" i="1"/>
  <c r="G642" i="1" s="1"/>
  <c r="G629" i="1"/>
  <c r="H468" i="1"/>
  <c r="C11" i="10"/>
  <c r="C110" i="2"/>
  <c r="C115" i="2" s="1"/>
  <c r="C145" i="2" s="1"/>
  <c r="L229" i="1"/>
  <c r="G660" i="1" s="1"/>
  <c r="C10" i="10"/>
  <c r="J634" i="1"/>
  <c r="G661" i="1"/>
  <c r="D29" i="13"/>
  <c r="C29" i="13" s="1"/>
  <c r="D127" i="2"/>
  <c r="D128" i="2" s="1"/>
  <c r="D145" i="2" s="1"/>
  <c r="F33" i="13"/>
  <c r="D5" i="13"/>
  <c r="G33" i="13"/>
  <c r="H661" i="1"/>
  <c r="I661" i="1" s="1"/>
  <c r="C15" i="10"/>
  <c r="C39" i="10"/>
  <c r="I193" i="1"/>
  <c r="G630" i="1" s="1"/>
  <c r="J630" i="1" s="1"/>
  <c r="G552" i="1"/>
  <c r="L523" i="1"/>
  <c r="F551" i="1" s="1"/>
  <c r="K551" i="1" s="1"/>
  <c r="H257" i="1"/>
  <c r="H271" i="1" s="1"/>
  <c r="F257" i="1"/>
  <c r="F271" i="1" s="1"/>
  <c r="J257" i="1"/>
  <c r="J604" i="1"/>
  <c r="C36" i="10"/>
  <c r="C41" i="10"/>
  <c r="L247" i="1"/>
  <c r="H660" i="1" s="1"/>
  <c r="G468" i="1"/>
  <c r="G628" i="1"/>
  <c r="F468" i="1"/>
  <c r="G627" i="1"/>
  <c r="K550" i="1"/>
  <c r="L521" i="1"/>
  <c r="F524" i="1"/>
  <c r="F545" i="1" s="1"/>
  <c r="J470" i="1"/>
  <c r="J476" i="1" s="1"/>
  <c r="H626" i="1" s="1"/>
  <c r="H631" i="1"/>
  <c r="J631" i="1" s="1"/>
  <c r="H637" i="1"/>
  <c r="J637" i="1" s="1"/>
  <c r="L211" i="1"/>
  <c r="F660" i="1" l="1"/>
  <c r="L257" i="1"/>
  <c r="L271" i="1" s="1"/>
  <c r="D15" i="10"/>
  <c r="L524" i="1"/>
  <c r="L545" i="1" s="1"/>
  <c r="F549" i="1"/>
  <c r="G470" i="1"/>
  <c r="H628" i="1"/>
  <c r="D37" i="10"/>
  <c r="D38" i="10"/>
  <c r="D40" i="10"/>
  <c r="J271" i="1"/>
  <c r="H648" i="1"/>
  <c r="D10" i="10"/>
  <c r="C28" i="10"/>
  <c r="D11" i="10"/>
  <c r="D27" i="10"/>
  <c r="L338" i="1"/>
  <c r="L352" i="1" s="1"/>
  <c r="D31" i="13"/>
  <c r="C31" i="13" s="1"/>
  <c r="J627" i="1"/>
  <c r="D36" i="10"/>
  <c r="G8" i="2"/>
  <c r="G18" i="2" s="1"/>
  <c r="J19" i="1"/>
  <c r="G621" i="1" s="1"/>
  <c r="J635" i="1"/>
  <c r="F470" i="1"/>
  <c r="H627" i="1"/>
  <c r="D35" i="10"/>
  <c r="D39" i="10"/>
  <c r="C5" i="13"/>
  <c r="G664" i="1"/>
  <c r="H470" i="1"/>
  <c r="H629" i="1"/>
  <c r="J628" i="1"/>
  <c r="J605" i="1"/>
  <c r="H663" i="1"/>
  <c r="H664" i="1" s="1"/>
  <c r="J629" i="1"/>
  <c r="K604" i="1"/>
  <c r="K605" i="1" s="1"/>
  <c r="G648" i="1" s="1"/>
  <c r="H635" i="1"/>
  <c r="G474" i="1"/>
  <c r="D16" i="10"/>
  <c r="J48" i="1"/>
  <c r="I460" i="1"/>
  <c r="I461" i="1" s="1"/>
  <c r="H642" i="1" s="1"/>
  <c r="J642" i="1" s="1"/>
  <c r="H667" i="1" l="1"/>
  <c r="H672" i="1"/>
  <c r="C6" i="10" s="1"/>
  <c r="I663" i="1"/>
  <c r="K549" i="1"/>
  <c r="K552" i="1" s="1"/>
  <c r="F552" i="1"/>
  <c r="F472" i="1"/>
  <c r="G632" i="1"/>
  <c r="G667" i="1"/>
  <c r="G672" i="1"/>
  <c r="C5" i="10" s="1"/>
  <c r="D41" i="10"/>
  <c r="F664" i="1"/>
  <c r="I660" i="1"/>
  <c r="I664" i="1" s="1"/>
  <c r="G47" i="2"/>
  <c r="G50" i="2" s="1"/>
  <c r="G51" i="2" s="1"/>
  <c r="J51" i="1"/>
  <c r="J648" i="1"/>
  <c r="D33" i="13"/>
  <c r="D36" i="13" s="1"/>
  <c r="H472" i="1"/>
  <c r="G633" i="1"/>
  <c r="D22" i="10"/>
  <c r="C30" i="10"/>
  <c r="D17" i="10"/>
  <c r="D28" i="10" s="1"/>
  <c r="D13" i="10"/>
  <c r="D25" i="10"/>
  <c r="D23" i="10"/>
  <c r="D18" i="10"/>
  <c r="D21" i="10"/>
  <c r="D26" i="10"/>
  <c r="D24" i="10"/>
  <c r="D20" i="10"/>
  <c r="D19" i="10"/>
  <c r="D12" i="10"/>
  <c r="G476" i="1"/>
  <c r="H623" i="1" s="1"/>
  <c r="J623" i="1" s="1"/>
  <c r="G626" i="1" l="1"/>
  <c r="J52" i="1"/>
  <c r="H621" i="1" s="1"/>
  <c r="J621" i="1" s="1"/>
  <c r="H474" i="1"/>
  <c r="H476" i="1" s="1"/>
  <c r="H624" i="1" s="1"/>
  <c r="J624" i="1" s="1"/>
  <c r="H633" i="1"/>
  <c r="J633" i="1" s="1"/>
  <c r="I667" i="1"/>
  <c r="I672" i="1"/>
  <c r="C7" i="10" s="1"/>
  <c r="F474" i="1"/>
  <c r="F476" i="1" s="1"/>
  <c r="H622" i="1" s="1"/>
  <c r="J622" i="1" s="1"/>
  <c r="H632" i="1"/>
  <c r="J632" i="1" s="1"/>
  <c r="F667" i="1"/>
  <c r="F672" i="1"/>
  <c r="C4" i="10" s="1"/>
  <c r="J626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<sst xmlns="http://schemas.openxmlformats.org/spreadsheetml/2006/main" count="3958" uniqueCount="916">
  <si>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</si>
  <si>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</si>
  <si>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</si>
  <si>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</si>
  <si>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</si>
  <si>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</si>
  <si>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</si>
  <si>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</si>
  <si>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</si>
  <si>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</si>
  <si>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</si>
  <si>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</si>
  <si>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</si>
  <si>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</si>
  <si>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</si>
  <si>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</si>
  <si>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</si>
  <si>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</si>
  <si>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</si>
  <si>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</si>
  <si>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</si>
  <si>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</si>
  <si>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</si>
  <si>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</si>
  <si>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</si>
  <si>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</si>
  <si>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</si>
  <si>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</si>
  <si>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</si>
  <si>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</si>
  <si>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</si>
  <si>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</si>
  <si>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</si>
  <si>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</si>
  <si>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</si>
  <si>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</si>
  <si>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</si>
  <si>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</si>
  <si>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</si>
  <si>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</si>
  <si>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</si>
  <si>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</si>
  <si>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</si>
  <si>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</si>
  <si>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</si>
  <si>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</si>
  <si>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</si>
  <si>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</si>
  <si>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</si>
  <si>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</si>
  <si>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</si>
  <si>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</si>
  <si>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</si>
  <si>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</si>
  <si>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</si>
  <si>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</si>
  <si>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</si>
  <si>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</si>
  <si>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</si>
  <si>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</si>
  <si>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</si>
  <si>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</si>
  <si>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</si>
  <si>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</si>
  <si>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</si>
  <si>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</si>
  <si>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</si>
  <si>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</si>
  <si>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</si>
  <si>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</si>
  <si>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</si>
  <si>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</si>
  <si>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</si>
  <si>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</si>
  <si>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</si>
  <si>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</si>
  <si>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</si>
  <si>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</si>
  <si>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</si>
  <si>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</si>
  <si>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</si>
  <si>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</si>
  <si>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</si>
  <si>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</si>
  <si>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</si>
  <si>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</si>
  <si>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</si>
  <si>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</si>
  <si>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</si>
  <si>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</si>
  <si>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</si>
  <si>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</si>
  <si>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</si>
  <si>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</si>
  <si>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</si>
  <si>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</si>
  <si>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</si>
  <si>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</si>
  <si>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</si>
  <si>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</si>
  <si>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</si>
  <si>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</si>
  <si>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</si>
  <si>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</si>
  <si>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</si>
  <si>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</si>
  <si>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</si>
  <si>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</si>
  <si>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</si>
  <si>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</si>
  <si>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</si>
  <si>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</si>
  <si>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</si>
  <si>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</si>
  <si>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</si>
  <si>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</si>
  <si>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</si>
  <si>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</si>
  <si>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</si>
  <si>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</si>
  <si>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</si>
  <si>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</si>
  <si>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</si>
  <si>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</si>
  <si>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</si>
  <si>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</si>
  <si>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</si>
  <si>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</si>
  <si>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</si>
  <si>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</si>
  <si>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</si>
  <si>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</si>
  <si>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</si>
  <si>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</si>
  <si>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</si>
  <si>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</si>
  <si>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</si>
  <si>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</si>
  <si>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</si>
  <si>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</si>
  <si>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</si>
  <si>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</si>
  <si>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</si>
  <si>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</si>
  <si>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</si>
  <si>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</si>
  <si>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</si>
  <si>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</si>
  <si>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</si>
  <si>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</si>
  <si>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</si>
  <si>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</si>
  <si>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</si>
  <si>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</si>
  <si>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</si>
  <si>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</si>
  <si>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</si>
  <si>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</si>
  <si>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</si>
  <si>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</si>
  <si>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</si>
  <si>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</si>
  <si>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</si>
  <si>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</si>
  <si>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</si>
  <si>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</si>
  <si>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</si>
  <si>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</si>
  <si>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</si>
  <si>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</si>
  <si>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</si>
  <si>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</si>
  <si>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</si>
  <si>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</si>
  <si>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</si>
  <si>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</si>
  <si>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</si>
  <si>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</si>
  <si>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</si>
  <si>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</si>
  <si>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</si>
  <si>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</si>
  <si>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</si>
  <si>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</si>
  <si>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</si>
  <si>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</si>
  <si>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</si>
  <si>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</si>
  <si>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</si>
  <si>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</si>
  <si>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</si>
  <si>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</si>
  <si>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</si>
  <si>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</si>
  <si>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</si>
  <si>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</si>
  <si>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</si>
  <si>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</si>
  <si>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</si>
  <si>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</si>
  <si>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</si>
  <si>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</si>
  <si>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</si>
  <si>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</si>
  <si>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</si>
  <si>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</si>
  <si>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</si>
  <si>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</si>
  <si>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</si>
  <si>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</si>
  <si>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</si>
  <si>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</si>
  <si>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</si>
  <si>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</si>
  <si>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</si>
  <si>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</si>
  <si>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</si>
  <si>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</si>
  <si>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</si>
  <si>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</si>
  <si>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</si>
  <si>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</si>
  <si>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</si>
  <si>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</si>
  <si>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</si>
  <si>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</si>
  <si>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</si>
  <si>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</si>
  <si>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</si>
  <si>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</si>
  <si>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</si>
  <si>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</si>
  <si>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</si>
  <si>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</si>
  <si>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</si>
  <si>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</si>
  <si>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</si>
  <si>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</si>
  <si>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</si>
  <si>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</si>
  <si>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</si>
  <si>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</si>
  <si>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</si>
  <si>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</si>
  <si>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</si>
  <si>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</si>
  <si>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</si>
  <si>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</si>
  <si>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</si>
  <si>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</si>
  <si>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</si>
  <si>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</si>
  <si>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</si>
  <si>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</si>
  <si>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</si>
  <si>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</si>
  <si>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</si>
  <si>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</si>
  <si>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</si>
  <si>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</si>
  <si>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</si>
  <si>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</si>
  <si>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</si>
  <si>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</si>
  <si>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</si>
  <si>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</si>
  <si>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</si>
  <si>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</si>
  <si>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</si>
  <si>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</si>
  <si>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</si>
  <si>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</si>
  <si>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</si>
  <si>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</si>
  <si>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</si>
  <si>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</si>
  <si>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</si>
  <si>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</si>
  <si>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</si>
  <si>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</si>
  <si>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</si>
  <si>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</si>
  <si>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</si>
  <si>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</si>
  <si>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</si>
  <si>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</si>
  <si>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</si>
  <si>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</si>
  <si>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</si>
  <si>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</si>
  <si>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</si>
  <si>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</si>
  <si>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</si>
  <si>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</si>
  <si>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</si>
  <si>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</si>
  <si>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</si>
  <si>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</si>
  <si>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</si>
  <si>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</si>
  <si>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</si>
  <si>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</si>
  <si>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</si>
  <si>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</si>
  <si>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</si>
  <si>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</si>
  <si>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</si>
  <si>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</si>
  <si>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</si>
  <si>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</si>
  <si>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</si>
  <si>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</si>
  <si>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</si>
  <si>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</si>
  <si>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</si>
  <si>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</si>
  <si>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</si>
  <si>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</si>
  <si>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</si>
  <si>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</si>
  <si>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</si>
  <si>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</si>
  <si>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</si>
  <si>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</si>
  <si>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</si>
  <si>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</si>
  <si>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</si>
  <si>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</si>
  <si>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</si>
  <si>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</si>
  <si>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</si>
  <si>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</si>
  <si>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</si>
  <si>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</si>
  <si>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</si>
  <si>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</si>
  <si>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</si>
  <si>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</si>
  <si>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</si>
  <si>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</si>
  <si>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</si>
  <si>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</si>
  <si>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</si>
  <si>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</si>
  <si>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</si>
  <si>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</si>
  <si>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</si>
  <si>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</si>
  <si>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</si>
  <si>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</si>
  <si>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</si>
  <si>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</si>
  <si>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</si>
  <si>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</si>
  <si>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</si>
  <si>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</si>
  <si>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</si>
  <si>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</si>
  <si>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</si>
  <si>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</si>
  <si>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</si>
  <si>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</si>
  <si>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</si>
  <si>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</si>
  <si>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</si>
  <si>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</si>
  <si>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</si>
  <si>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</si>
  <si>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</si>
  <si>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</si>
  <si>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</si>
  <si>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</si>
  <si>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</si>
  <si>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</si>
  <si>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</si>
  <si>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</si>
  <si>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</si>
  <si>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</si>
  <si>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</si>
  <si>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</si>
  <si>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</si>
  <si>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</si>
  <si>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</si>
  <si>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</si>
  <si>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</si>
  <si>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</si>
  <si>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</si>
  <si>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</si>
  <si>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</si>
  <si>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</si>
  <si>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</si>
  <si>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</si>
  <si>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</si>
  <si>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</si>
  <si>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</si>
  <si>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</si>
  <si>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</si>
  <si>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</si>
  <si>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</si>
  <si>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</si>
  <si>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</si>
  <si>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</si>
  <si>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</si>
  <si>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</si>
  <si>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</si>
  <si>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</si>
  <si>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</si>
  <si>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</si>
  <si>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</si>
  <si>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</si>
  <si>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</si>
  <si>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</si>
  <si>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</si>
  <si>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</si>
  <si>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</si>
  <si>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</si>
  <si>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</si>
  <si>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</si>
  <si>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</si>
  <si>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</si>
  <si>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</si>
  <si>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</si>
  <si>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</si>
  <si>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</si>
  <si>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</si>
  <si>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</si>
  <si>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</si>
  <si>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</si>
  <si>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</si>
  <si>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</si>
  <si>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</si>
  <si>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</si>
  <si>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</si>
  <si>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</si>
  <si>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</si>
  <si>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</si>
  <si>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</si>
  <si>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</si>
  <si>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</si>
  <si>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</si>
  <si>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</si>
  <si>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</si>
  <si>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</si>
  <si>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</si>
  <si>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</si>
  <si>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</si>
  <si>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</si>
  <si>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</si>
  <si>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</si>
  <si>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</si>
  <si>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</si>
  <si>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</si>
  <si>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</si>
  <si>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</si>
  <si>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</si>
  <si>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</si>
  <si>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</si>
  <si>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</si>
  <si>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</si>
  <si>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</si>
  <si>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</si>
  <si>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</si>
  <si>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</si>
  <si>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</si>
  <si>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</si>
  <si>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</si>
  <si>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</si>
  <si>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</si>
  <si>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</si>
  <si>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</si>
  <si>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</si>
  <si>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</si>
  <si>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</si>
  <si>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</si>
  <si>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</si>
  <si>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</si>
  <si>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</si>
  <si>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</si>
  <si>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</si>
  <si>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</si>
  <si>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</si>
  <si>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</si>
  <si>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</si>
  <si>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</si>
  <si>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</si>
  <si>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</si>
  <si>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</si>
  <si>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</si>
  <si>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</si>
  <si>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</si>
  <si>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</si>
  <si>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</si>
  <si>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</si>
  <si>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</si>
  <si>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</si>
  <si>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</si>
  <si>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</si>
  <si>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</si>
  <si>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</si>
  <si>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</si>
  <si>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</si>
  <si>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</si>
  <si>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</si>
  <si>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</si>
  <si>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</si>
  <si>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</si>
  <si>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</si>
  <si>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</si>
  <si>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</si>
  <si>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</si>
  <si>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</si>
  <si>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</si>
  <si>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</si>
  <si>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</si>
  <si>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</si>
  <si>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</si>
  <si>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</si>
  <si>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</si>
  <si>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</si>
  <si>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</si>
  <si>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</si>
  <si>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</si>
  <si>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</si>
  <si>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</si>
  <si>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</si>
  <si>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</si>
  <si>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</si>
  <si>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</si>
  <si>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</si>
  <si>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</si>
  <si>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</si>
  <si>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</si>
  <si>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</si>
  <si>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</si>
  <si>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</si>
  <si>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</si>
  <si>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</si>
  <si>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</si>
  <si>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</si>
  <si>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</si>
  <si>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</si>
  <si>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</si>
  <si>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</si>
  <si>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</si>
  <si>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</si>
  <si>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</si>
  <si>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</si>
  <si>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</si>
  <si>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</si>
  <si>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</si>
  <si>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</si>
  <si>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</si>
  <si>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</si>
  <si>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</si>
  <si>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</si>
  <si>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</si>
  <si>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</si>
  <si>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</si>
  <si>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</si>
  <si>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</si>
  <si>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</si>
  <si>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</si>
  <si>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</si>
  <si>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</si>
  <si>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</si>
  <si>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</si>
  <si>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</si>
  <si>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</si>
  <si>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</si>
  <si>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</si>
  <si>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</si>
  <si>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</si>
  <si>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</si>
  <si>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</si>
  <si>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</si>
  <si>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</si>
  <si>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</si>
  <si>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</si>
  <si>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</si>
  <si>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</si>
  <si>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</si>
  <si>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</si>
  <si>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</si>
  <si>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</si>
  <si>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</si>
  <si>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</si>
  <si>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</si>
  <si>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</si>
  <si>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</si>
  <si>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</si>
  <si>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</si>
  <si>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</si>
  <si>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</si>
  <si>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</si>
  <si>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</si>
  <si>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</si>
  <si>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</si>
  <si>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</si>
  <si>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</si>
  <si>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</si>
  <si>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</si>
  <si>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</si>
  <si>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</si>
  <si>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</si>
  <si>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</si>
  <si>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</si>
  <si>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</si>
  <si>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</si>
  <si>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</si>
  <si>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</si>
  <si>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</si>
  <si>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</si>
  <si>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</si>
  <si>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</si>
  <si>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</si>
  <si>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</si>
  <si>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</si>
  <si>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</si>
  <si>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</si>
  <si>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</si>
  <si>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</si>
  <si>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</si>
  <si>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</si>
  <si>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</si>
  <si>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</si>
  <si>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</si>
  <si>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</si>
  <si>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</si>
  <si>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</si>
  <si>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</si>
  <si>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</si>
  <si>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</si>
  <si>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</si>
  <si>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</si>
  <si>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</si>
  <si>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</si>
  <si>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</si>
  <si>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</si>
  <si>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</si>
  <si>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</si>
  <si>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</si>
  <si>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</si>
  <si>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</si>
  <si>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</si>
  <si>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</si>
  <si>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</si>
  <si>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</si>
  <si>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</si>
  <si>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</si>
  <si>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</si>
  <si>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</si>
  <si>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</si>
  <si>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</si>
  <si>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</si>
  <si>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</si>
  <si>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</si>
  <si>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</si>
  <si>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</si>
  <si>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</si>
  <si>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</si>
  <si>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</si>
  <si>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</si>
  <si>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</si>
  <si>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</si>
  <si>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</si>
  <si>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</si>
  <si>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</si>
  <si>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</si>
  <si>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</si>
  <si>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</si>
  <si>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</si>
  <si>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</si>
  <si>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</si>
  <si>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</si>
  <si>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</si>
  <si>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</si>
  <si>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</si>
  <si>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</si>
  <si>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</si>
  <si>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</si>
  <si>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</si>
  <si>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</si>
  <si>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</si>
  <si>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</si>
  <si>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</si>
  <si>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</si>
  <si>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</si>
  <si>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</si>
  <si>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</si>
  <si>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</si>
  <si>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</si>
  <si>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</si>
  <si>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</si>
  <si>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</si>
  <si>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</si>
  <si>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</si>
  <si>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</si>
  <si>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</si>
  <si>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</si>
  <si>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</si>
  <si>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</si>
  <si>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</si>
  <si>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</si>
  <si>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</si>
  <si>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</si>
  <si>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</si>
  <si>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</si>
  <si>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</si>
  <si>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</si>
  <si>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</si>
  <si>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</si>
  <si>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</si>
  <si>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</si>
  <si>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</si>
  <si>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</si>
  <si>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</si>
  <si>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</si>
  <si>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</si>
  <si>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</si>
  <si>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</si>
  <si>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</si>
  <si>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</si>
  <si>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</si>
  <si>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</si>
  <si>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</si>
  <si>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</si>
  <si>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</si>
  <si>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</si>
  <si>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</si>
  <si>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</si>
  <si>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</si>
  <si>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</si>
  <si>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</si>
  <si>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</si>
  <si>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</si>
  <si>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</si>
  <si>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</si>
  <si>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</si>
  <si>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</si>
  <si>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</si>
  <si>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</si>
  <si>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</si>
  <si>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</si>
  <si>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</si>
  <si>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</si>
  <si>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</si>
  <si>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</si>
  <si>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</si>
  <si>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</si>
  <si>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</si>
  <si>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</si>
  <si>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</si>
  <si>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</si>
  <si>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</si>
  <si>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</si>
  <si>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</si>
  <si>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</si>
  <si>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</si>
  <si>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</si>
  <si>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</si>
  <si>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</si>
  <si>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</si>
  <si>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</si>
  <si>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</si>
  <si>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</si>
  <si>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</si>
  <si>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</si>
  <si>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</si>
  <si>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</si>
  <si>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</si>
  <si>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</si>
  <si>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</si>
  <si>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</si>
  <si>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</si>
  <si>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</si>
  <si>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</si>
  <si>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</si>
  <si>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</si>
  <si>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</si>
  <si>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</si>
  <si>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</si>
  <si>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</si>
  <si>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</si>
  <si>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</si>
  <si>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</si>
  <si>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</si>
  <si>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</si>
  <si>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</si>
  <si>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</si>
  <si>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</si>
  <si>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</si>
  <si>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</si>
  <si>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</si>
  <si>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</si>
  <si>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</si>
  <si>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</si>
  <si>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</si>
  <si>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</si>
  <si>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</si>
  <si>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</si>
  <si>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</si>
  <si>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</si>
  <si>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</si>
  <si>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</si>
  <si>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</si>
  <si>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</si>
  <si>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</si>
  <si>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</si>
  <si>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</si>
  <si>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</si>
  <si>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</si>
  <si>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</si>
  <si>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</si>
  <si>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</si>
  <si>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</si>
  <si>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</si>
  <si>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</si>
  <si>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</si>
  <si>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</si>
  <si>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</si>
  <si>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</si>
  <si>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</si>
  <si>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</si>
  <si>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</si>
  <si>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</si>
  <si>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</si>
  <si>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</si>
  <si>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</si>
  <si>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</si>
  <si>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</si>
  <si>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</si>
  <si>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</si>
  <si>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</si>
  <si>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</si>
  <si>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</si>
  <si>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</si>
  <si>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</si>
  <si>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</si>
  <si>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</si>
  <si>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</si>
  <si>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</si>
  <si>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</si>
  <si>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</si>
  <si>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</si>
  <si>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</si>
  <si>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</si>
  <si>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</si>
  <si>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</si>
  <si>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</si>
  <si>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</si>
  <si>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</si>
  <si>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</si>
  <si>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</si>
  <si>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</si>
  <si>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</si>
  <si>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</si>
  <si>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</si>
  <si>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</si>
  <si>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</si>
  <si>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</si>
  <si>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</si>
  <si>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</si>
  <si>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</si>
  <si>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</si>
  <si>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</si>
  <si>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</si>
  <si>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</si>
  <si>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</si>
  <si>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</si>
  <si>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</si>
  <si>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</si>
  <si>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</si>
  <si>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</si>
  <si>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</si>
  <si>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</si>
  <si>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</si>
  <si>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</si>
  <si>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</si>
  <si>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</si>
  <si>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</si>
  <si>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</si>
  <si>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</si>
  <si>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</si>
  <si>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</si>
  <si>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</si>
  <si>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</si>
  <si>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</si>
  <si>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</si>
  <si>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</si>
  <si>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</si>
  <si>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</si>
  <si>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</si>
  <si>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</si>
  <si>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</si>
  <si>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</si>
  <si>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</si>
  <si>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</si>
  <si>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</si>
  <si>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</si>
  <si>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</si>
  <si>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</si>
  <si>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</si>
  <si>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</si>
  <si>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</si>
  <si>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</si>
  <si>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</si>
  <si>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</si>
  <si>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</si>
  <si>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</si>
  <si>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</si>
  <si>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</si>
  <si>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HOPKINTON SCHOOL DISTRICT</t>
  </si>
  <si>
    <t>5/07</t>
  </si>
  <si>
    <t>8/17</t>
  </si>
  <si>
    <t>3.5 - 5.0</t>
  </si>
  <si>
    <t>Health Trust &amp; Property Liability Trust - Local Gov't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</si>
</sst>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7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0" zoomScaleNormal="80" zoomScalePageLayoutView="15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263</v>
      </c>
      <c r="C2" s="21">
        <v>263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764608</v>
      </c>
      <c r="G9" s="18">
        <v>100</v>
      </c>
      <c r="H9" s="18"/>
      <c r="I9" s="18">
        <v>0</v>
      </c>
      <c r="J9" s="67">
        <f>SUM(I439)</f>
        <v>311760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240124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50030</v>
      </c>
      <c r="G12" s="18">
        <v>4719</v>
      </c>
      <c r="H12" s="18">
        <v>34958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1198</v>
      </c>
      <c r="G13" s="18">
        <v>4310</v>
      </c>
      <c r="H13" s="18">
        <v>47183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17307</v>
      </c>
      <c r="G14" s="18">
        <v>165</v>
      </c>
      <c r="H14" s="18">
        <v>0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34910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1108177</v>
      </c>
      <c r="G19" s="41">
        <f>SUM(G9:G18)</f>
        <v>9294</v>
      </c>
      <c r="H19" s="41">
        <f>SUM(H9:H18)</f>
        <v>82141</v>
      </c>
      <c r="I19" s="41">
        <f>SUM(I9:I18)</f>
        <v>0</v>
      </c>
      <c r="J19" s="41">
        <f>SUM(J9:J18)</f>
        <v>311760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55006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>
        <v>0</v>
      </c>
      <c r="H23" s="18">
        <f>45106-10406</f>
        <v>34700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81641</v>
      </c>
      <c r="G24" s="18"/>
      <c r="H24" s="18">
        <v>1752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22343</v>
      </c>
      <c r="G28" s="18"/>
      <c r="H28" s="18">
        <v>1332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9294</v>
      </c>
      <c r="H30" s="18">
        <v>0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3441</v>
      </c>
      <c r="G31" s="18"/>
      <c r="H31" s="18">
        <v>44357</v>
      </c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162431</v>
      </c>
      <c r="G32" s="41">
        <f>SUM(G22:G31)</f>
        <v>9294</v>
      </c>
      <c r="H32" s="41">
        <f>SUM(H22:H31)</f>
        <v>82141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34910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121000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250000</v>
      </c>
      <c r="G48" s="18"/>
      <c r="H48" s="18"/>
      <c r="I48" s="18"/>
      <c r="J48" s="13">
        <f>SUM(I459)</f>
        <v>311760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171227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1108177-162431-577137</f>
        <v>368609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945746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311760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1108177</v>
      </c>
      <c r="G52" s="41">
        <f>G51+G32</f>
        <v>9294</v>
      </c>
      <c r="H52" s="41">
        <f>H51+H32</f>
        <v>82141</v>
      </c>
      <c r="I52" s="41">
        <f>I51+I32</f>
        <v>0</v>
      </c>
      <c r="J52" s="41">
        <f>J51+J32</f>
        <v>311760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12163635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12163635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80725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22904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0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103629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158</v>
      </c>
      <c r="G96" s="18"/>
      <c r="H96" s="18"/>
      <c r="I96" s="18">
        <v>0</v>
      </c>
      <c r="J96" s="18">
        <v>268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176013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9190+21490+2190-114</f>
        <v>32756</v>
      </c>
      <c r="G98" s="24" t="s">
        <v>289</v>
      </c>
      <c r="H98" s="18">
        <f>2453</f>
        <v>2453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4645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/>
      <c r="H102" s="18">
        <v>41451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559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280312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9767</v>
      </c>
      <c r="G110" s="18"/>
      <c r="H110" s="18">
        <f>7498+2449+1397+699+401</f>
        <v>12444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328197</v>
      </c>
      <c r="G111" s="41">
        <f>SUM(G96:G110)</f>
        <v>176013</v>
      </c>
      <c r="H111" s="41">
        <f>SUM(H96:H110)</f>
        <v>56348</v>
      </c>
      <c r="I111" s="41">
        <f>SUM(I96:I110)</f>
        <v>0</v>
      </c>
      <c r="J111" s="41">
        <f>SUM(J96:J110)</f>
        <v>268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12595461</v>
      </c>
      <c r="G112" s="41">
        <f>G60+G111</f>
        <v>176013</v>
      </c>
      <c r="H112" s="41">
        <f>H60+H79+H94+H111</f>
        <v>56348</v>
      </c>
      <c r="I112" s="41">
        <f>I60+I111</f>
        <v>0</v>
      </c>
      <c r="J112" s="41">
        <f>J60+J111</f>
        <v>268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1959685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1546201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20586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3526472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143286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73659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4024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377+964+538+1209+420+108+131+472</f>
        <v>4219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f>2450+38219</f>
        <v>40669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220969</v>
      </c>
      <c r="G136" s="41">
        <f>SUM(G123:G135)</f>
        <v>4219</v>
      </c>
      <c r="H136" s="41">
        <f>SUM(H123:H135)</f>
        <v>40669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3747441</v>
      </c>
      <c r="G140" s="41">
        <f>G121+SUM(G136:G137)</f>
        <v>4219</v>
      </c>
      <c r="H140" s="41">
        <f>H121+SUM(H136:H139)</f>
        <v>40669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2448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2448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39593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17329+6961+4086+31078</f>
        <v>59454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15976+9959+18885+357+4021+3612+9623+12342</f>
        <v>74775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184625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208694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470</v>
      </c>
      <c r="G161" s="18"/>
      <c r="H161" s="18">
        <v>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209164</v>
      </c>
      <c r="G162" s="41">
        <f>SUM(G150:G161)</f>
        <v>74775</v>
      </c>
      <c r="H162" s="41">
        <f>SUM(H150:H161)</f>
        <v>283672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211612</v>
      </c>
      <c r="G169" s="41">
        <f>G147+G162+SUM(G163:G168)</f>
        <v>74775</v>
      </c>
      <c r="H169" s="41">
        <f>H147+H162+SUM(H163:H168)</f>
        <v>283672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109351</v>
      </c>
      <c r="H179" s="18">
        <v>3782</v>
      </c>
      <c r="I179" s="18">
        <v>0</v>
      </c>
      <c r="J179" s="18">
        <v>70000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109351</v>
      </c>
      <c r="H183" s="41">
        <f>SUM(H179:H182)</f>
        <v>3782</v>
      </c>
      <c r="I183" s="41">
        <f>SUM(I179:I182)</f>
        <v>0</v>
      </c>
      <c r="J183" s="41">
        <f>SUM(J179:J182)</f>
        <v>70000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>
        <v>0</v>
      </c>
      <c r="H186" s="18"/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109351</v>
      </c>
      <c r="H192" s="41">
        <f>+H183+SUM(H188:H191)</f>
        <v>3782</v>
      </c>
      <c r="I192" s="41">
        <f>I177+I183+SUM(I188:I191)</f>
        <v>0</v>
      </c>
      <c r="J192" s="41">
        <f>J183</f>
        <v>70000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16554514</v>
      </c>
      <c r="G193" s="47">
        <f>G112+G140+G169+G192</f>
        <v>364358</v>
      </c>
      <c r="H193" s="47">
        <f>H112+H140+H169+H192</f>
        <v>384471</v>
      </c>
      <c r="I193" s="47">
        <f>I112+I140+I169+I192</f>
        <v>0</v>
      </c>
      <c r="J193" s="47">
        <f>J112+J140+J192</f>
        <v>70268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2227956+114333</f>
        <v>2342289</v>
      </c>
      <c r="G197" s="18">
        <f>1000596+52539</f>
        <v>1053135</v>
      </c>
      <c r="H197" s="18">
        <f>584+6234</f>
        <v>6818</v>
      </c>
      <c r="I197" s="18">
        <f>70452+4985</f>
        <v>75437</v>
      </c>
      <c r="J197" s="18">
        <f>6443+1392</f>
        <v>7835</v>
      </c>
      <c r="K197" s="18">
        <f>1305+104</f>
        <v>1409</v>
      </c>
      <c r="L197" s="19">
        <f>SUM(F197:K197)</f>
        <v>3486923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891488+14299</f>
        <v>905787</v>
      </c>
      <c r="G198" s="18">
        <f>287674+2410</f>
        <v>290084</v>
      </c>
      <c r="H198" s="18">
        <f>17656+121946-492+1</f>
        <v>139111</v>
      </c>
      <c r="I198" s="18">
        <f>2742+2079+361</f>
        <v>5182</v>
      </c>
      <c r="J198" s="18">
        <f>4050+3250+844</f>
        <v>8144</v>
      </c>
      <c r="K198" s="18">
        <v>274</v>
      </c>
      <c r="L198" s="19">
        <f>SUM(F198:K198)</f>
        <v>1348582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4263</v>
      </c>
      <c r="G200" s="18">
        <v>747</v>
      </c>
      <c r="H200" s="18"/>
      <c r="I200" s="18"/>
      <c r="J200" s="18"/>
      <c r="K200" s="18">
        <v>0</v>
      </c>
      <c r="L200" s="19">
        <f>SUM(F200:K200)</f>
        <v>5010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366756+104817</f>
        <v>471573</v>
      </c>
      <c r="G202" s="18">
        <f>158439+25759</f>
        <v>184198</v>
      </c>
      <c r="H202" s="18">
        <f>29+33199+383+904</f>
        <v>34515</v>
      </c>
      <c r="I202" s="18">
        <f>2505+113</f>
        <v>2618</v>
      </c>
      <c r="J202" s="18">
        <f>799+310</f>
        <v>1109</v>
      </c>
      <c r="K202" s="18">
        <v>0</v>
      </c>
      <c r="L202" s="19">
        <f t="shared" ref="L202:L208" si="0">SUM(F202:K202)</f>
        <v>694013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121864+94239</f>
        <v>216103</v>
      </c>
      <c r="G203" s="18">
        <f>41099+39420</f>
        <v>80519</v>
      </c>
      <c r="H203" s="18">
        <f>27727+4907+34022+4394</f>
        <v>71050</v>
      </c>
      <c r="I203" s="18">
        <f>22454+16360</f>
        <v>38814</v>
      </c>
      <c r="J203" s="18">
        <f>10995+19135</f>
        <v>30130</v>
      </c>
      <c r="K203" s="18">
        <f>2790+6599</f>
        <v>9389</v>
      </c>
      <c r="L203" s="19">
        <f t="shared" si="0"/>
        <v>446005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170088</v>
      </c>
      <c r="G204" s="18">
        <v>70820</v>
      </c>
      <c r="H204" s="18">
        <f>31252+540+11902+1</f>
        <v>43695</v>
      </c>
      <c r="I204" s="18">
        <v>7497</v>
      </c>
      <c r="J204" s="18">
        <v>756</v>
      </c>
      <c r="K204" s="18">
        <v>8179</v>
      </c>
      <c r="L204" s="19">
        <f t="shared" si="0"/>
        <v>301035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251782</v>
      </c>
      <c r="G205" s="18">
        <v>121227</v>
      </c>
      <c r="H205" s="18">
        <v>21534</v>
      </c>
      <c r="I205" s="18">
        <v>2394</v>
      </c>
      <c r="J205" s="18">
        <v>940</v>
      </c>
      <c r="K205" s="18">
        <v>1128</v>
      </c>
      <c r="L205" s="19">
        <f t="shared" si="0"/>
        <v>399005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92914</v>
      </c>
      <c r="G206" s="18">
        <v>36658</v>
      </c>
      <c r="H206" s="18"/>
      <c r="I206" s="18"/>
      <c r="J206" s="18"/>
      <c r="K206" s="18"/>
      <c r="L206" s="19">
        <f t="shared" si="0"/>
        <v>129572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196438+28750</f>
        <v>225188</v>
      </c>
      <c r="G207" s="18">
        <f>109505+13596</f>
        <v>123101</v>
      </c>
      <c r="H207" s="18">
        <f>81234+2205+855+21571</f>
        <v>105865</v>
      </c>
      <c r="I207" s="18">
        <f>147078+8157</f>
        <v>155235</v>
      </c>
      <c r="J207" s="18">
        <f>8877+2166</f>
        <v>11043</v>
      </c>
      <c r="K207" s="18">
        <v>0</v>
      </c>
      <c r="L207" s="19">
        <f t="shared" si="0"/>
        <v>620432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3453+16631</f>
        <v>20084</v>
      </c>
      <c r="G208" s="18">
        <f>654+5977</f>
        <v>6631</v>
      </c>
      <c r="H208" s="18">
        <f>2301+2183+337857</f>
        <v>342341</v>
      </c>
      <c r="I208" s="18">
        <v>5234</v>
      </c>
      <c r="J208" s="18">
        <v>38</v>
      </c>
      <c r="K208" s="18">
        <v>348</v>
      </c>
      <c r="L208" s="19">
        <f t="shared" si="0"/>
        <v>374676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4700071</v>
      </c>
      <c r="G211" s="41">
        <f t="shared" si="1"/>
        <v>1967120</v>
      </c>
      <c r="H211" s="41">
        <f t="shared" si="1"/>
        <v>764929</v>
      </c>
      <c r="I211" s="41">
        <f t="shared" si="1"/>
        <v>292411</v>
      </c>
      <c r="J211" s="41">
        <f t="shared" si="1"/>
        <v>59995</v>
      </c>
      <c r="K211" s="41">
        <f t="shared" si="1"/>
        <v>20727</v>
      </c>
      <c r="L211" s="41">
        <f t="shared" si="1"/>
        <v>7805253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732260+11371</f>
        <v>743631</v>
      </c>
      <c r="G215" s="18">
        <f>321701+6144</f>
        <v>327845</v>
      </c>
      <c r="H215" s="18">
        <f>1320+1764</f>
        <v>3084</v>
      </c>
      <c r="I215" s="18">
        <v>17062</v>
      </c>
      <c r="J215" s="18">
        <f>5591+250</f>
        <v>5841</v>
      </c>
      <c r="K215" s="18">
        <v>320</v>
      </c>
      <c r="L215" s="19">
        <f>SUM(F215:K215)</f>
        <v>1097783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252644+4045</f>
        <v>256689</v>
      </c>
      <c r="G216" s="18">
        <f>115629+682</f>
        <v>116311</v>
      </c>
      <c r="H216" s="18">
        <f>24373+2042</f>
        <v>26415</v>
      </c>
      <c r="I216" s="18">
        <f>885+588</f>
        <v>1473</v>
      </c>
      <c r="J216" s="18">
        <v>920</v>
      </c>
      <c r="K216" s="18">
        <v>78</v>
      </c>
      <c r="L216" s="19">
        <f>SUM(F216:K216)</f>
        <v>401886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38117</v>
      </c>
      <c r="G218" s="18">
        <v>10548</v>
      </c>
      <c r="H218" s="18">
        <v>8860</v>
      </c>
      <c r="I218" s="18">
        <v>766</v>
      </c>
      <c r="J218" s="18">
        <v>0</v>
      </c>
      <c r="K218" s="18">
        <v>0</v>
      </c>
      <c r="L218" s="19">
        <f>SUM(F218:K218)</f>
        <v>58291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46507+29656</f>
        <v>76163</v>
      </c>
      <c r="G220" s="18">
        <f>20483+7288</f>
        <v>27771</v>
      </c>
      <c r="H220" s="18">
        <f>9829+108+256</f>
        <v>10193</v>
      </c>
      <c r="I220" s="18">
        <f>675+32</f>
        <v>707</v>
      </c>
      <c r="J220" s="18">
        <f>513+88</f>
        <v>601</v>
      </c>
      <c r="K220" s="18">
        <v>0</v>
      </c>
      <c r="L220" s="19">
        <f t="shared" ref="L220:L226" si="2">SUM(F220:K220)</f>
        <v>115435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25079+26663</f>
        <v>51742</v>
      </c>
      <c r="G221" s="18">
        <f>13256+11153</f>
        <v>24409</v>
      </c>
      <c r="H221" s="18">
        <f>7926+1388+9626+1243</f>
        <v>20183</v>
      </c>
      <c r="I221" s="18">
        <f>10461+4629</f>
        <v>15090</v>
      </c>
      <c r="J221" s="18">
        <f>16775+5414</f>
        <v>22189</v>
      </c>
      <c r="K221" s="18">
        <f>398+1867</f>
        <v>2265</v>
      </c>
      <c r="L221" s="19">
        <f t="shared" si="2"/>
        <v>135878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48123</v>
      </c>
      <c r="G222" s="18">
        <v>20037</v>
      </c>
      <c r="H222" s="18">
        <f>8842+153+3368</f>
        <v>12363</v>
      </c>
      <c r="I222" s="18">
        <v>2121</v>
      </c>
      <c r="J222" s="18">
        <v>214</v>
      </c>
      <c r="K222" s="18">
        <v>2314</v>
      </c>
      <c r="L222" s="19">
        <f t="shared" si="2"/>
        <v>85172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86863</v>
      </c>
      <c r="G223" s="18">
        <v>44245</v>
      </c>
      <c r="H223" s="18">
        <v>5841</v>
      </c>
      <c r="I223" s="18">
        <v>891</v>
      </c>
      <c r="J223" s="18">
        <v>0</v>
      </c>
      <c r="K223" s="18">
        <v>1770</v>
      </c>
      <c r="L223" s="19">
        <f t="shared" si="2"/>
        <v>139610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26288</v>
      </c>
      <c r="G224" s="18">
        <v>10372</v>
      </c>
      <c r="H224" s="18"/>
      <c r="I224" s="18"/>
      <c r="J224" s="18"/>
      <c r="K224" s="18"/>
      <c r="L224" s="19">
        <f t="shared" si="2"/>
        <v>36660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37227+8134</f>
        <v>45361</v>
      </c>
      <c r="G225" s="18">
        <f>15247+3847</f>
        <v>19094</v>
      </c>
      <c r="H225" s="18">
        <f>14408+624+242+6103</f>
        <v>21377</v>
      </c>
      <c r="I225" s="18">
        <f>51068+2308</f>
        <v>53376</v>
      </c>
      <c r="J225" s="18">
        <f>10346+613</f>
        <v>10959</v>
      </c>
      <c r="K225" s="18">
        <v>0</v>
      </c>
      <c r="L225" s="19">
        <f t="shared" si="2"/>
        <v>150167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30+105+4705</f>
        <v>4840</v>
      </c>
      <c r="G226" s="18">
        <f>2+3+10+14+1691</f>
        <v>1720</v>
      </c>
      <c r="H226" s="18">
        <f>9315+518+474+63+618+60636</f>
        <v>71624</v>
      </c>
      <c r="I226" s="18">
        <f>268+1481</f>
        <v>1749</v>
      </c>
      <c r="J226" s="18">
        <v>11</v>
      </c>
      <c r="K226" s="18">
        <v>99</v>
      </c>
      <c r="L226" s="19">
        <f t="shared" si="2"/>
        <v>80043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1377817</v>
      </c>
      <c r="G229" s="41">
        <f>SUM(G215:G228)</f>
        <v>602352</v>
      </c>
      <c r="H229" s="41">
        <f>SUM(H215:H228)</f>
        <v>179940</v>
      </c>
      <c r="I229" s="41">
        <f>SUM(I215:I228)</f>
        <v>93235</v>
      </c>
      <c r="J229" s="41">
        <f>SUM(J215:J228)</f>
        <v>40735</v>
      </c>
      <c r="K229" s="41">
        <f t="shared" si="3"/>
        <v>6846</v>
      </c>
      <c r="L229" s="41">
        <f t="shared" si="3"/>
        <v>2300925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1500831+30145</f>
        <v>1530976</v>
      </c>
      <c r="G233" s="18">
        <f>673447+14839</f>
        <v>688286</v>
      </c>
      <c r="H233" s="18">
        <f>6516+4055</f>
        <v>10571</v>
      </c>
      <c r="I233" s="18">
        <v>37265</v>
      </c>
      <c r="J233" s="18">
        <f>11220+575</f>
        <v>11795</v>
      </c>
      <c r="K233" s="18">
        <v>245</v>
      </c>
      <c r="L233" s="19">
        <f>SUM(F233:K233)</f>
        <v>2279138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512105+40820</f>
        <v>552925</v>
      </c>
      <c r="G234" s="18">
        <f>213148+4076</f>
        <v>217224</v>
      </c>
      <c r="H234" s="18">
        <f>3095+83281</f>
        <v>86376</v>
      </c>
      <c r="I234" s="18">
        <f>1821+1352</f>
        <v>3173</v>
      </c>
      <c r="J234" s="18">
        <v>2114</v>
      </c>
      <c r="K234" s="18">
        <v>178</v>
      </c>
      <c r="L234" s="19">
        <f>SUM(F234:K234)</f>
        <v>861990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9297</v>
      </c>
      <c r="I235" s="18"/>
      <c r="J235" s="18"/>
      <c r="K235" s="18"/>
      <c r="L235" s="19">
        <f>SUM(F235:K235)</f>
        <v>9297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162045</v>
      </c>
      <c r="G236" s="18">
        <v>34498</v>
      </c>
      <c r="H236" s="18">
        <v>52137</v>
      </c>
      <c r="I236" s="18">
        <v>10102</v>
      </c>
      <c r="J236" s="18">
        <v>6451</v>
      </c>
      <c r="K236" s="18">
        <v>3475</v>
      </c>
      <c r="L236" s="19">
        <f>SUM(F236:K236)</f>
        <v>268708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222714+68184</f>
        <v>290898</v>
      </c>
      <c r="G238" s="18">
        <f>88880+16756</f>
        <v>105636</v>
      </c>
      <c r="H238" s="18">
        <f>12506+249+588</f>
        <v>13343</v>
      </c>
      <c r="I238" s="18">
        <f>4418+74</f>
        <v>4492</v>
      </c>
      <c r="J238" s="18">
        <f>1197+202</f>
        <v>1399</v>
      </c>
      <c r="K238" s="18">
        <v>25</v>
      </c>
      <c r="L238" s="19">
        <f t="shared" ref="L238:L244" si="4">SUM(F238:K238)</f>
        <v>415793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57457+61303</f>
        <v>118760</v>
      </c>
      <c r="G239" s="18">
        <f>30617+25643</f>
        <v>56260</v>
      </c>
      <c r="H239" s="18">
        <f>26106+3192+22131+2859</f>
        <v>54288</v>
      </c>
      <c r="I239" s="18">
        <f>16057+10642</f>
        <v>26699</v>
      </c>
      <c r="J239" s="18">
        <f>36668+12447</f>
        <v>49115</v>
      </c>
      <c r="K239" s="18">
        <f>929+4293</f>
        <v>5222</v>
      </c>
      <c r="L239" s="19">
        <f t="shared" si="4"/>
        <v>310344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110643</v>
      </c>
      <c r="G240" s="18">
        <v>46069</v>
      </c>
      <c r="H240" s="18">
        <f>20330+352+7742</f>
        <v>28424</v>
      </c>
      <c r="I240" s="18">
        <v>4877</v>
      </c>
      <c r="J240" s="18">
        <v>492</v>
      </c>
      <c r="K240" s="18">
        <v>5321</v>
      </c>
      <c r="L240" s="19">
        <f t="shared" si="4"/>
        <v>195826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172967</v>
      </c>
      <c r="G241" s="18">
        <v>81960</v>
      </c>
      <c r="H241" s="18">
        <v>13147</v>
      </c>
      <c r="I241" s="18">
        <v>11169</v>
      </c>
      <c r="J241" s="18">
        <v>0</v>
      </c>
      <c r="K241" s="18">
        <v>3978</v>
      </c>
      <c r="L241" s="19">
        <f t="shared" si="4"/>
        <v>283221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60442</v>
      </c>
      <c r="G242" s="18">
        <v>23846</v>
      </c>
      <c r="H242" s="18"/>
      <c r="I242" s="18"/>
      <c r="J242" s="18"/>
      <c r="K242" s="18"/>
      <c r="L242" s="19">
        <f t="shared" si="4"/>
        <v>84288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152218+18702</f>
        <v>170920</v>
      </c>
      <c r="G243" s="18">
        <f>61605+8844</f>
        <v>70449</v>
      </c>
      <c r="H243" s="18">
        <f>33012+1435+556+14032</f>
        <v>49035</v>
      </c>
      <c r="I243" s="18">
        <f>119361+5306</f>
        <v>124667</v>
      </c>
      <c r="J243" s="18">
        <f>23587+1409</f>
        <v>24996</v>
      </c>
      <c r="K243" s="18">
        <v>0</v>
      </c>
      <c r="L243" s="19">
        <f t="shared" si="4"/>
        <v>440067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100+10818</f>
        <v>10918</v>
      </c>
      <c r="G244" s="18">
        <f>18+3888</f>
        <v>3906</v>
      </c>
      <c r="H244" s="18">
        <f>44548+1420+164449</f>
        <v>210417</v>
      </c>
      <c r="I244" s="18">
        <f>233+3405</f>
        <v>3638</v>
      </c>
      <c r="J244" s="18">
        <v>25</v>
      </c>
      <c r="K244" s="18">
        <v>227</v>
      </c>
      <c r="L244" s="19">
        <f t="shared" si="4"/>
        <v>229131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3181494</v>
      </c>
      <c r="G247" s="41">
        <f t="shared" si="5"/>
        <v>1328134</v>
      </c>
      <c r="H247" s="41">
        <f t="shared" si="5"/>
        <v>527035</v>
      </c>
      <c r="I247" s="41">
        <f t="shared" si="5"/>
        <v>226082</v>
      </c>
      <c r="J247" s="41">
        <f t="shared" si="5"/>
        <v>96387</v>
      </c>
      <c r="K247" s="41">
        <f t="shared" si="5"/>
        <v>18671</v>
      </c>
      <c r="L247" s="41">
        <f t="shared" si="5"/>
        <v>5377803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0</v>
      </c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9259382</v>
      </c>
      <c r="G257" s="41">
        <f t="shared" si="8"/>
        <v>3897606</v>
      </c>
      <c r="H257" s="41">
        <f t="shared" si="8"/>
        <v>1471904</v>
      </c>
      <c r="I257" s="41">
        <f t="shared" si="8"/>
        <v>611728</v>
      </c>
      <c r="J257" s="41">
        <f t="shared" si="8"/>
        <v>197117</v>
      </c>
      <c r="K257" s="41">
        <f t="shared" si="8"/>
        <v>46244</v>
      </c>
      <c r="L257" s="41">
        <f t="shared" si="8"/>
        <v>15483981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450000</v>
      </c>
      <c r="L260" s="19">
        <f>SUM(F260:K260)</f>
        <v>450000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97100</v>
      </c>
      <c r="L261" s="19">
        <f>SUM(F261:K261)</f>
        <v>97100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109351</v>
      </c>
      <c r="L263" s="19">
        <f>SUM(F263:K263)</f>
        <v>109351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3782</v>
      </c>
      <c r="L264" s="19">
        <f t="shared" ref="L264:L270" si="9">SUM(F264:K264)</f>
        <v>3782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70000</v>
      </c>
      <c r="L266" s="19">
        <f t="shared" si="9"/>
        <v>70000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730233</v>
      </c>
      <c r="L270" s="41">
        <f t="shared" si="9"/>
        <v>730233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9259382</v>
      </c>
      <c r="G271" s="42">
        <f t="shared" si="11"/>
        <v>3897606</v>
      </c>
      <c r="H271" s="42">
        <f t="shared" si="11"/>
        <v>1471904</v>
      </c>
      <c r="I271" s="42">
        <f t="shared" si="11"/>
        <v>611728</v>
      </c>
      <c r="J271" s="42">
        <f t="shared" si="11"/>
        <v>197117</v>
      </c>
      <c r="K271" s="42">
        <f t="shared" si="11"/>
        <v>776477</v>
      </c>
      <c r="L271" s="42">
        <f t="shared" si="11"/>
        <v>16214214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31636+1623</f>
        <v>33259</v>
      </c>
      <c r="G276" s="18">
        <f>13914+312</f>
        <v>14226</v>
      </c>
      <c r="H276" s="18">
        <v>6270</v>
      </c>
      <c r="I276" s="18">
        <f>745+4056</f>
        <v>4801</v>
      </c>
      <c r="J276" s="18">
        <f>8646+1174</f>
        <v>9820</v>
      </c>
      <c r="K276" s="18">
        <v>4288</v>
      </c>
      <c r="L276" s="19">
        <f>SUM(F276:K276)</f>
        <v>72664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100090</v>
      </c>
      <c r="G277" s="18">
        <v>43456</v>
      </c>
      <c r="H277" s="18"/>
      <c r="I277" s="18">
        <v>3832</v>
      </c>
      <c r="J277" s="18">
        <v>1405</v>
      </c>
      <c r="K277" s="18"/>
      <c r="L277" s="19">
        <f>SUM(F277:K277)</f>
        <v>148783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845</v>
      </c>
      <c r="J281" s="18">
        <v>645</v>
      </c>
      <c r="K281" s="18"/>
      <c r="L281" s="19">
        <f t="shared" ref="L281:L287" si="12">SUM(F281:K281)</f>
        <v>1490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6308</v>
      </c>
      <c r="G282" s="18">
        <v>1000</v>
      </c>
      <c r="H282" s="18">
        <v>11057</v>
      </c>
      <c r="I282" s="18">
        <v>1612</v>
      </c>
      <c r="J282" s="18"/>
      <c r="K282" s="18">
        <v>517</v>
      </c>
      <c r="L282" s="19">
        <f t="shared" si="12"/>
        <v>20494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>
        <v>362</v>
      </c>
      <c r="J283" s="18">
        <v>129</v>
      </c>
      <c r="K283" s="18"/>
      <c r="L283" s="19">
        <f t="shared" si="12"/>
        <v>491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935</v>
      </c>
      <c r="I287" s="18"/>
      <c r="J287" s="18"/>
      <c r="K287" s="18"/>
      <c r="L287" s="19">
        <f t="shared" si="12"/>
        <v>935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139657</v>
      </c>
      <c r="G290" s="42">
        <f t="shared" si="13"/>
        <v>58682</v>
      </c>
      <c r="H290" s="42">
        <f t="shared" si="13"/>
        <v>18262</v>
      </c>
      <c r="I290" s="42">
        <f t="shared" si="13"/>
        <v>11452</v>
      </c>
      <c r="J290" s="42">
        <f t="shared" si="13"/>
        <v>11999</v>
      </c>
      <c r="K290" s="42">
        <f t="shared" si="13"/>
        <v>4805</v>
      </c>
      <c r="L290" s="41">
        <f t="shared" si="13"/>
        <v>244857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47+0</f>
        <v>47</v>
      </c>
      <c r="G295" s="18">
        <v>3</v>
      </c>
      <c r="H295" s="18">
        <v>73</v>
      </c>
      <c r="I295" s="18">
        <v>238</v>
      </c>
      <c r="J295" s="18">
        <v>373</v>
      </c>
      <c r="K295" s="18"/>
      <c r="L295" s="19">
        <f>SUM(F295:K295)</f>
        <v>734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5273</v>
      </c>
      <c r="G296" s="18">
        <v>2637</v>
      </c>
      <c r="H296" s="18"/>
      <c r="I296" s="18">
        <v>117</v>
      </c>
      <c r="J296" s="18">
        <v>397</v>
      </c>
      <c r="K296" s="18"/>
      <c r="L296" s="19">
        <f>SUM(F296:K296)</f>
        <v>8424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>
        <v>1600</v>
      </c>
      <c r="K298" s="18"/>
      <c r="L298" s="19">
        <f>SUM(F298:K298)</f>
        <v>1600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>
        <v>239</v>
      </c>
      <c r="J300" s="18">
        <v>183</v>
      </c>
      <c r="K300" s="18"/>
      <c r="L300" s="19">
        <f t="shared" ref="L300:L306" si="14">SUM(F300:K300)</f>
        <v>422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1292</v>
      </c>
      <c r="G301" s="18">
        <v>283</v>
      </c>
      <c r="H301" s="18">
        <v>2393</v>
      </c>
      <c r="I301" s="18"/>
      <c r="J301" s="18">
        <v>120</v>
      </c>
      <c r="K301" s="18">
        <v>146</v>
      </c>
      <c r="L301" s="19">
        <f t="shared" si="14"/>
        <v>4234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>
        <v>102</v>
      </c>
      <c r="J302" s="18"/>
      <c r="K302" s="18"/>
      <c r="L302" s="19">
        <f t="shared" si="14"/>
        <v>102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>
        <v>3169</v>
      </c>
      <c r="K305" s="18"/>
      <c r="L305" s="19">
        <f t="shared" si="14"/>
        <v>3169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6612</v>
      </c>
      <c r="G309" s="42">
        <f t="shared" si="15"/>
        <v>2923</v>
      </c>
      <c r="H309" s="42">
        <f t="shared" si="15"/>
        <v>2466</v>
      </c>
      <c r="I309" s="42">
        <f t="shared" si="15"/>
        <v>696</v>
      </c>
      <c r="J309" s="42">
        <f t="shared" si="15"/>
        <v>5842</v>
      </c>
      <c r="K309" s="42">
        <f t="shared" si="15"/>
        <v>146</v>
      </c>
      <c r="L309" s="41">
        <f t="shared" si="15"/>
        <v>18685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108</v>
      </c>
      <c r="G314" s="18">
        <v>8</v>
      </c>
      <c r="H314" s="18">
        <v>366</v>
      </c>
      <c r="I314" s="18">
        <v>2113</v>
      </c>
      <c r="J314" s="18">
        <v>15508</v>
      </c>
      <c r="K314" s="18">
        <v>5490</v>
      </c>
      <c r="L314" s="19">
        <f>SUM(F314:K314)</f>
        <v>23593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30348</v>
      </c>
      <c r="G315" s="18">
        <v>8233</v>
      </c>
      <c r="H315" s="18"/>
      <c r="I315" s="18">
        <v>269</v>
      </c>
      <c r="J315" s="18">
        <v>914</v>
      </c>
      <c r="K315" s="18"/>
      <c r="L315" s="19">
        <f>SUM(F315:K315)</f>
        <v>39764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>
        <v>3734</v>
      </c>
      <c r="K317" s="18"/>
      <c r="L317" s="19">
        <f>SUM(F317:K317)</f>
        <v>3734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>
        <v>549</v>
      </c>
      <c r="J319" s="18">
        <v>420</v>
      </c>
      <c r="K319" s="18"/>
      <c r="L319" s="19">
        <f t="shared" ref="L319:L325" si="16">SUM(F319:K319)</f>
        <v>969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2970</v>
      </c>
      <c r="G320" s="18">
        <v>650</v>
      </c>
      <c r="H320" s="18">
        <v>5502</v>
      </c>
      <c r="I320" s="18"/>
      <c r="J320" s="18">
        <v>280</v>
      </c>
      <c r="K320" s="18">
        <v>336</v>
      </c>
      <c r="L320" s="19">
        <f t="shared" si="16"/>
        <v>9738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>
        <v>235</v>
      </c>
      <c r="J321" s="18"/>
      <c r="K321" s="18"/>
      <c r="L321" s="19">
        <f t="shared" si="16"/>
        <v>235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>
        <v>7395</v>
      </c>
      <c r="K324" s="18"/>
      <c r="L324" s="19">
        <f t="shared" si="16"/>
        <v>7395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208</v>
      </c>
      <c r="I325" s="18"/>
      <c r="J325" s="18"/>
      <c r="K325" s="18"/>
      <c r="L325" s="19">
        <f t="shared" si="16"/>
        <v>208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33426</v>
      </c>
      <c r="G328" s="42">
        <f t="shared" si="17"/>
        <v>8891</v>
      </c>
      <c r="H328" s="42">
        <f t="shared" si="17"/>
        <v>6076</v>
      </c>
      <c r="I328" s="42">
        <f t="shared" si="17"/>
        <v>3166</v>
      </c>
      <c r="J328" s="42">
        <f t="shared" si="17"/>
        <v>28251</v>
      </c>
      <c r="K328" s="42">
        <f t="shared" si="17"/>
        <v>5826</v>
      </c>
      <c r="L328" s="41">
        <f t="shared" si="17"/>
        <v>85636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140</v>
      </c>
      <c r="I332" s="18"/>
      <c r="J332" s="18"/>
      <c r="K332" s="18"/>
      <c r="L332" s="19">
        <f t="shared" ref="L332:L337" si="18">SUM(F332:K332)</f>
        <v>140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>
        <v>4621</v>
      </c>
      <c r="J335" s="18"/>
      <c r="K335" s="18">
        <v>2877</v>
      </c>
      <c r="L335" s="19">
        <f t="shared" si="18"/>
        <v>7498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>
        <v>27655</v>
      </c>
      <c r="K336" s="18"/>
      <c r="L336" s="19">
        <f t="shared" si="18"/>
        <v>27655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140</v>
      </c>
      <c r="I337" s="41">
        <f t="shared" si="19"/>
        <v>4621</v>
      </c>
      <c r="J337" s="41">
        <f t="shared" si="19"/>
        <v>27655</v>
      </c>
      <c r="K337" s="41">
        <f t="shared" si="19"/>
        <v>2877</v>
      </c>
      <c r="L337" s="41">
        <f t="shared" si="18"/>
        <v>35293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179695</v>
      </c>
      <c r="G338" s="41">
        <f t="shared" si="20"/>
        <v>70496</v>
      </c>
      <c r="H338" s="41">
        <f t="shared" si="20"/>
        <v>26944</v>
      </c>
      <c r="I338" s="41">
        <f t="shared" si="20"/>
        <v>19935</v>
      </c>
      <c r="J338" s="41">
        <f t="shared" si="20"/>
        <v>73747</v>
      </c>
      <c r="K338" s="41">
        <f t="shared" si="20"/>
        <v>13654</v>
      </c>
      <c r="L338" s="41">
        <f t="shared" si="20"/>
        <v>384471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179695</v>
      </c>
      <c r="G352" s="41">
        <f>G338</f>
        <v>70496</v>
      </c>
      <c r="H352" s="41">
        <f>H338</f>
        <v>26944</v>
      </c>
      <c r="I352" s="41">
        <f>I338</f>
        <v>19935</v>
      </c>
      <c r="J352" s="41">
        <f>J338</f>
        <v>73747</v>
      </c>
      <c r="K352" s="47">
        <f>K338+K351</f>
        <v>13654</v>
      </c>
      <c r="L352" s="41">
        <f>L338+L351</f>
        <v>384471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88666</v>
      </c>
      <c r="G358" s="18">
        <v>39752</v>
      </c>
      <c r="H358" s="18">
        <f>10+1361+551</f>
        <v>1922</v>
      </c>
      <c r="I358" s="18">
        <f>54637+6418</f>
        <v>61055</v>
      </c>
      <c r="J358" s="18">
        <v>0</v>
      </c>
      <c r="K358" s="18">
        <v>405</v>
      </c>
      <c r="L358" s="13">
        <f>SUM(F358:K358)</f>
        <v>191800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21274</v>
      </c>
      <c r="G359" s="18">
        <v>9313</v>
      </c>
      <c r="H359" s="18">
        <f>3+416+156</f>
        <v>575</v>
      </c>
      <c r="I359" s="18">
        <f>17019+1851</f>
        <v>18870</v>
      </c>
      <c r="J359" s="18">
        <v>1796</v>
      </c>
      <c r="K359" s="18">
        <v>116</v>
      </c>
      <c r="L359" s="19">
        <f>SUM(F359:K359)</f>
        <v>51944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49452</v>
      </c>
      <c r="G360" s="18">
        <v>21592</v>
      </c>
      <c r="H360" s="18">
        <f>7+971+359</f>
        <v>1337</v>
      </c>
      <c r="I360" s="18">
        <f>39700+4073</f>
        <v>43773</v>
      </c>
      <c r="J360" s="18">
        <v>4192</v>
      </c>
      <c r="K360" s="18">
        <v>268</v>
      </c>
      <c r="L360" s="19">
        <f>SUM(F360:K360)</f>
        <v>120614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159392</v>
      </c>
      <c r="G362" s="47">
        <f t="shared" si="22"/>
        <v>70657</v>
      </c>
      <c r="H362" s="47">
        <f t="shared" si="22"/>
        <v>3834</v>
      </c>
      <c r="I362" s="47">
        <f t="shared" si="22"/>
        <v>123698</v>
      </c>
      <c r="J362" s="47">
        <f t="shared" si="22"/>
        <v>5988</v>
      </c>
      <c r="K362" s="47">
        <f t="shared" si="22"/>
        <v>789</v>
      </c>
      <c r="L362" s="47">
        <f t="shared" si="22"/>
        <v>364358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18184+8365+19592+3706+6418</f>
        <v>56265</v>
      </c>
      <c r="G367" s="18">
        <f>16010+1851</f>
        <v>17861</v>
      </c>
      <c r="H367" s="18">
        <f>37356+4073</f>
        <v>41429</v>
      </c>
      <c r="I367" s="56">
        <f>SUM(F367:H367)</f>
        <v>115555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4790</v>
      </c>
      <c r="G368" s="63">
        <v>1009</v>
      </c>
      <c r="H368" s="63">
        <v>2344</v>
      </c>
      <c r="I368" s="56">
        <f>SUM(F368:H368)</f>
        <v>8143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61055</v>
      </c>
      <c r="G369" s="47">
        <f>SUM(G367:G368)</f>
        <v>18870</v>
      </c>
      <c r="H369" s="47">
        <f>SUM(H367:H368)</f>
        <v>43773</v>
      </c>
      <c r="I369" s="47">
        <f>SUM(I367:I368)</f>
        <v>123698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0</v>
      </c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50000</v>
      </c>
      <c r="H389" s="18">
        <v>33</v>
      </c>
      <c r="I389" s="18"/>
      <c r="J389" s="24" t="s">
        <v>289</v>
      </c>
      <c r="K389" s="24" t="s">
        <v>289</v>
      </c>
      <c r="L389" s="56">
        <f t="shared" si="25"/>
        <v>50033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10000</v>
      </c>
      <c r="H392" s="18">
        <v>6</v>
      </c>
      <c r="I392" s="18"/>
      <c r="J392" s="24" t="s">
        <v>289</v>
      </c>
      <c r="K392" s="24" t="s">
        <v>289</v>
      </c>
      <c r="L392" s="56">
        <f t="shared" si="25"/>
        <v>10006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60000</v>
      </c>
      <c r="H393" s="139">
        <f>SUM(H387:H392)</f>
        <v>39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60039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>
        <v>10000</v>
      </c>
      <c r="H395" s="18">
        <v>57</v>
      </c>
      <c r="I395" s="18"/>
      <c r="J395" s="24" t="s">
        <v>289</v>
      </c>
      <c r="K395" s="24" t="s">
        <v>289</v>
      </c>
      <c r="L395" s="56">
        <f t="shared" ref="L395:L400" si="26">SUM(F395:K395)</f>
        <v>10057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172</v>
      </c>
      <c r="I397" s="18"/>
      <c r="J397" s="24" t="s">
        <v>289</v>
      </c>
      <c r="K397" s="24" t="s">
        <v>289</v>
      </c>
      <c r="L397" s="56">
        <f t="shared" si="26"/>
        <v>172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</v>
      </c>
      <c r="H401" s="47">
        <f>SUM(H395:H400)</f>
        <v>229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10229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70000</v>
      </c>
      <c r="H408" s="47">
        <f>H393+H401+H407</f>
        <v>268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70268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>
        <v>218384</v>
      </c>
      <c r="K415" s="18"/>
      <c r="L415" s="56">
        <f t="shared" si="27"/>
        <v>218384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218384</v>
      </c>
      <c r="K419" s="139">
        <f t="shared" si="28"/>
        <v>0</v>
      </c>
      <c r="L419" s="47">
        <f t="shared" si="28"/>
        <v>218384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>
        <v>11600</v>
      </c>
      <c r="K423" s="18"/>
      <c r="L423" s="56">
        <f t="shared" si="29"/>
        <v>11600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11600</v>
      </c>
      <c r="K427" s="47">
        <f t="shared" si="30"/>
        <v>0</v>
      </c>
      <c r="L427" s="47">
        <f t="shared" si="30"/>
        <v>11600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229984</v>
      </c>
      <c r="K434" s="47">
        <f t="shared" si="32"/>
        <v>0</v>
      </c>
      <c r="L434" s="47">
        <f t="shared" si="32"/>
        <v>229984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f>52424+25850</f>
        <v>78274</v>
      </c>
      <c r="G439" s="18">
        <f>158236+75250</f>
        <v>233486</v>
      </c>
      <c r="H439" s="18"/>
      <c r="I439" s="56">
        <f t="shared" ref="I439:I445" si="33">SUM(F439:H439)</f>
        <v>311760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78274</v>
      </c>
      <c r="G446" s="13">
        <f>SUM(G439:G445)</f>
        <v>233486</v>
      </c>
      <c r="H446" s="13">
        <f>SUM(H439:H445)</f>
        <v>0</v>
      </c>
      <c r="I446" s="13">
        <f>SUM(I439:I445)</f>
        <v>311760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F439</f>
        <v>78274</v>
      </c>
      <c r="G459" s="18">
        <f>G439</f>
        <v>233486</v>
      </c>
      <c r="H459" s="18"/>
      <c r="I459" s="56">
        <f t="shared" si="34"/>
        <v>311760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78274</v>
      </c>
      <c r="G460" s="83">
        <f>SUM(G454:G459)</f>
        <v>233486</v>
      </c>
      <c r="H460" s="83">
        <f>SUM(H454:H459)</f>
        <v>0</v>
      </c>
      <c r="I460" s="83">
        <f>SUM(I454:I459)</f>
        <v>311760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78274</v>
      </c>
      <c r="G461" s="42">
        <f>G452+G460</f>
        <v>233486</v>
      </c>
      <c r="H461" s="42">
        <f>H452+H460</f>
        <v>0</v>
      </c>
      <c r="I461" s="42">
        <f>I452+I460</f>
        <v>311760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605446</v>
      </c>
      <c r="G465" s="18">
        <v>0</v>
      </c>
      <c r="H465" s="18">
        <v>0</v>
      </c>
      <c r="I465" s="18">
        <v>0</v>
      </c>
      <c r="J465" s="18">
        <v>471476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16554514</v>
      </c>
      <c r="G468" s="18">
        <f>G193</f>
        <v>364358</v>
      </c>
      <c r="H468" s="18">
        <f>H193</f>
        <v>384471</v>
      </c>
      <c r="I468" s="18"/>
      <c r="J468" s="18">
        <f>L408</f>
        <v>70268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0</v>
      </c>
      <c r="G469" s="18"/>
      <c r="H469" s="18"/>
      <c r="I469" s="18"/>
      <c r="J469" s="18"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16554514</v>
      </c>
      <c r="G470" s="53">
        <f>SUM(G468:G469)</f>
        <v>364358</v>
      </c>
      <c r="H470" s="53">
        <f>SUM(H468:H469)</f>
        <v>384471</v>
      </c>
      <c r="I470" s="53">
        <f>SUM(I468:I469)</f>
        <v>0</v>
      </c>
      <c r="J470" s="53">
        <f>SUM(J468:J469)</f>
        <v>70268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16214214</v>
      </c>
      <c r="G472" s="18">
        <f>L362</f>
        <v>364358</v>
      </c>
      <c r="H472" s="18">
        <f>L352</f>
        <v>384471</v>
      </c>
      <c r="I472" s="18"/>
      <c r="J472" s="18">
        <f>L434</f>
        <v>229984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16214214</v>
      </c>
      <c r="G474" s="53">
        <f>SUM(G472:G473)</f>
        <v>364358</v>
      </c>
      <c r="H474" s="53">
        <f>SUM(H472:H473)</f>
        <v>384471</v>
      </c>
      <c r="I474" s="53">
        <f>SUM(I472:I473)</f>
        <v>0</v>
      </c>
      <c r="J474" s="53">
        <f>SUM(J472:J473)</f>
        <v>229984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945746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311760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4745000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 t="s">
        <v>914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2445000</v>
      </c>
      <c r="G495" s="18"/>
      <c r="H495" s="18"/>
      <c r="I495" s="18"/>
      <c r="J495" s="18"/>
      <c r="K495" s="53">
        <f>SUM(F495:J495)</f>
        <v>2445000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450000</v>
      </c>
      <c r="G497" s="18"/>
      <c r="H497" s="18"/>
      <c r="I497" s="18"/>
      <c r="J497" s="18"/>
      <c r="K497" s="53">
        <f t="shared" si="35"/>
        <v>450000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1995000</v>
      </c>
      <c r="G498" s="204"/>
      <c r="H498" s="204"/>
      <c r="I498" s="204"/>
      <c r="J498" s="204"/>
      <c r="K498" s="205">
        <f t="shared" si="35"/>
        <v>1995000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285550-97100</f>
        <v>188450</v>
      </c>
      <c r="G499" s="18"/>
      <c r="H499" s="18"/>
      <c r="I499" s="18"/>
      <c r="J499" s="18"/>
      <c r="K499" s="53">
        <f t="shared" si="35"/>
        <v>188450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2183450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2183450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465000</v>
      </c>
      <c r="G501" s="204"/>
      <c r="H501" s="204"/>
      <c r="I501" s="204"/>
      <c r="J501" s="204"/>
      <c r="K501" s="205">
        <f t="shared" si="35"/>
        <v>465000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78800</v>
      </c>
      <c r="G502" s="18"/>
      <c r="H502" s="18"/>
      <c r="I502" s="18"/>
      <c r="J502" s="18"/>
      <c r="K502" s="53">
        <f t="shared" si="35"/>
        <v>78800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543800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543800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>
        <v>49270</v>
      </c>
      <c r="G511" s="24" t="s">
        <v>289</v>
      </c>
      <c r="H511" s="18">
        <v>49270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>
        <v>562129</v>
      </c>
      <c r="G512" s="24" t="s">
        <v>289</v>
      </c>
      <c r="H512" s="18">
        <f>48300+513829</f>
        <v>562129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>
        <v>16785746</v>
      </c>
      <c r="G513" s="24" t="s">
        <v>289</v>
      </c>
      <c r="H513" s="18">
        <v>16797346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>
        <v>653129</v>
      </c>
      <c r="G514" s="24" t="s">
        <v>289</v>
      </c>
      <c r="H514" s="18">
        <f>661465+160958</f>
        <v>822423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>
        <v>18050274</v>
      </c>
      <c r="H516" s="24" t="s">
        <v>289</v>
      </c>
      <c r="I516" s="18">
        <v>18231168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18050274</v>
      </c>
      <c r="G517" s="42">
        <f>SUM(G511:G516)</f>
        <v>18050274</v>
      </c>
      <c r="H517" s="42">
        <f>SUM(H511:H516)</f>
        <v>18231168</v>
      </c>
      <c r="I517" s="42">
        <f>SUM(I511:I516)</f>
        <v>18231168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 t="shared" ref="F521:K521" si="36">F277+F198</f>
        <v>1005877</v>
      </c>
      <c r="G521" s="18">
        <f t="shared" si="36"/>
        <v>333540</v>
      </c>
      <c r="H521" s="18">
        <f t="shared" si="36"/>
        <v>139111</v>
      </c>
      <c r="I521" s="18">
        <f t="shared" si="36"/>
        <v>9014</v>
      </c>
      <c r="J521" s="18">
        <f t="shared" si="36"/>
        <v>9549</v>
      </c>
      <c r="K521" s="18">
        <f t="shared" si="36"/>
        <v>274</v>
      </c>
      <c r="L521" s="88">
        <f>SUM(F521:K521)</f>
        <v>1497365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 t="shared" ref="F522:K522" si="37">F216+F296</f>
        <v>261962</v>
      </c>
      <c r="G522" s="18">
        <f t="shared" si="37"/>
        <v>118948</v>
      </c>
      <c r="H522" s="18">
        <f t="shared" si="37"/>
        <v>26415</v>
      </c>
      <c r="I522" s="18">
        <f t="shared" si="37"/>
        <v>1590</v>
      </c>
      <c r="J522" s="18">
        <f t="shared" si="37"/>
        <v>1317</v>
      </c>
      <c r="K522" s="18">
        <f t="shared" si="37"/>
        <v>78</v>
      </c>
      <c r="L522" s="88">
        <f>SUM(F522:K522)</f>
        <v>410310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 t="shared" ref="F523:K523" si="38">F315+F234</f>
        <v>583273</v>
      </c>
      <c r="G523" s="18">
        <f t="shared" si="38"/>
        <v>225457</v>
      </c>
      <c r="H523" s="18">
        <f t="shared" si="38"/>
        <v>86376</v>
      </c>
      <c r="I523" s="18">
        <f t="shared" si="38"/>
        <v>3442</v>
      </c>
      <c r="J523" s="18">
        <f t="shared" si="38"/>
        <v>3028</v>
      </c>
      <c r="K523" s="18">
        <f t="shared" si="38"/>
        <v>178</v>
      </c>
      <c r="L523" s="88">
        <f>SUM(F523:K523)</f>
        <v>901754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1851112</v>
      </c>
      <c r="G524" s="108">
        <f t="shared" ref="G524:L524" si="39">SUM(G521:G523)</f>
        <v>677945</v>
      </c>
      <c r="H524" s="108">
        <f t="shared" si="39"/>
        <v>251902</v>
      </c>
      <c r="I524" s="108">
        <f t="shared" si="39"/>
        <v>14046</v>
      </c>
      <c r="J524" s="108">
        <f t="shared" si="39"/>
        <v>13894</v>
      </c>
      <c r="K524" s="108">
        <f t="shared" si="39"/>
        <v>530</v>
      </c>
      <c r="L524" s="89">
        <f t="shared" si="39"/>
        <v>2809429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116785+47853+153313+54857</f>
        <v>372808</v>
      </c>
      <c r="G526" s="18">
        <f>46087+9594+70330+15700</f>
        <v>141711</v>
      </c>
      <c r="H526" s="18">
        <f>2147+5814+5916+10903+5714</f>
        <v>30494</v>
      </c>
      <c r="I526" s="18">
        <f>391+255+330</f>
        <v>976</v>
      </c>
      <c r="J526" s="18">
        <f>68+1109</f>
        <v>1177</v>
      </c>
      <c r="K526" s="18"/>
      <c r="L526" s="88">
        <f>SUM(F526:K526)</f>
        <v>547166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26146+13539+3922+15521</f>
        <v>59128</v>
      </c>
      <c r="G527" s="18">
        <f>12964+2714+1908+4442</f>
        <v>22028</v>
      </c>
      <c r="H527" s="18">
        <f>399+1645+1674+3085+1617</f>
        <v>8420</v>
      </c>
      <c r="I527" s="18">
        <f>481+72+13</f>
        <v>566</v>
      </c>
      <c r="J527" s="18">
        <f>19+88</f>
        <v>107</v>
      </c>
      <c r="K527" s="18"/>
      <c r="L527" s="88">
        <f>SUM(F527:K527)</f>
        <v>90249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133581+31129+14349+35685</f>
        <v>214744</v>
      </c>
      <c r="G528" s="18">
        <f>59095+6241+7252+10213</f>
        <v>82801</v>
      </c>
      <c r="H528" s="18">
        <f>917+3782+3848+7092+3717</f>
        <v>19356</v>
      </c>
      <c r="I528" s="18">
        <f>3965+166+30</f>
        <v>4161</v>
      </c>
      <c r="J528" s="18">
        <f>44+202</f>
        <v>246</v>
      </c>
      <c r="K528" s="18">
        <v>25</v>
      </c>
      <c r="L528" s="88">
        <f>SUM(F528:K528)</f>
        <v>321333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646680</v>
      </c>
      <c r="G529" s="89">
        <f t="shared" ref="G529:L529" si="40">SUM(G526:G528)</f>
        <v>246540</v>
      </c>
      <c r="H529" s="89">
        <f t="shared" si="40"/>
        <v>58270</v>
      </c>
      <c r="I529" s="89">
        <f t="shared" si="40"/>
        <v>5703</v>
      </c>
      <c r="J529" s="89">
        <f t="shared" si="40"/>
        <v>1530</v>
      </c>
      <c r="K529" s="89">
        <f t="shared" si="40"/>
        <v>25</v>
      </c>
      <c r="L529" s="89">
        <f t="shared" si="40"/>
        <v>958748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73344</v>
      </c>
      <c r="G531" s="18">
        <v>29527</v>
      </c>
      <c r="H531" s="18"/>
      <c r="I531" s="18">
        <v>773</v>
      </c>
      <c r="J531" s="18"/>
      <c r="K531" s="18"/>
      <c r="L531" s="88">
        <f>SUM(F531:K531)</f>
        <v>103644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20751</v>
      </c>
      <c r="G532" s="18">
        <v>8354</v>
      </c>
      <c r="H532" s="18"/>
      <c r="I532" s="18">
        <v>219</v>
      </c>
      <c r="J532" s="18"/>
      <c r="K532" s="18"/>
      <c r="L532" s="88">
        <f>SUM(F532:K532)</f>
        <v>29324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47711</v>
      </c>
      <c r="G533" s="18">
        <v>19207</v>
      </c>
      <c r="H533" s="18"/>
      <c r="I533" s="18">
        <v>502</v>
      </c>
      <c r="J533" s="18"/>
      <c r="K533" s="18"/>
      <c r="L533" s="88">
        <f>SUM(F533:K533)</f>
        <v>67420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141806</v>
      </c>
      <c r="G534" s="89">
        <f t="shared" ref="G534:L534" si="41">SUM(G531:G533)</f>
        <v>57088</v>
      </c>
      <c r="H534" s="89">
        <f t="shared" si="41"/>
        <v>0</v>
      </c>
      <c r="I534" s="89">
        <f t="shared" si="41"/>
        <v>1494</v>
      </c>
      <c r="J534" s="89">
        <f t="shared" si="41"/>
        <v>0</v>
      </c>
      <c r="K534" s="89">
        <f t="shared" si="41"/>
        <v>0</v>
      </c>
      <c r="L534" s="89">
        <f t="shared" si="41"/>
        <v>200388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7621</v>
      </c>
      <c r="I536" s="18"/>
      <c r="J536" s="18"/>
      <c r="K536" s="18"/>
      <c r="L536" s="88">
        <f>SUM(F536:K536)</f>
        <v>7621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2156</v>
      </c>
      <c r="I537" s="18"/>
      <c r="J537" s="18"/>
      <c r="K537" s="18"/>
      <c r="L537" s="88">
        <f>SUM(F537:K537)</f>
        <v>2156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4958</v>
      </c>
      <c r="I538" s="18"/>
      <c r="J538" s="18"/>
      <c r="K538" s="18"/>
      <c r="L538" s="88">
        <f>SUM(F538:K538)</f>
        <v>4958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14735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14735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13363</v>
      </c>
      <c r="G541" s="18">
        <v>4548</v>
      </c>
      <c r="H541" s="18">
        <v>124606</v>
      </c>
      <c r="I541" s="18">
        <v>2566</v>
      </c>
      <c r="J541" s="18">
        <v>38</v>
      </c>
      <c r="K541" s="18">
        <v>215</v>
      </c>
      <c r="L541" s="88">
        <f>SUM(F541:K541)</f>
        <v>145336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3781</v>
      </c>
      <c r="G542" s="18">
        <v>1287</v>
      </c>
      <c r="H542" s="18">
        <v>539</v>
      </c>
      <c r="I542" s="18">
        <v>726</v>
      </c>
      <c r="J542" s="18">
        <v>11</v>
      </c>
      <c r="K542" s="18">
        <v>61</v>
      </c>
      <c r="L542" s="88">
        <f>SUM(F542:K542)</f>
        <v>6405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8693</v>
      </c>
      <c r="G543" s="18">
        <v>2958</v>
      </c>
      <c r="H543" s="18">
        <v>14136</v>
      </c>
      <c r="I543" s="18">
        <v>1670</v>
      </c>
      <c r="J543" s="18">
        <v>25</v>
      </c>
      <c r="K543" s="18">
        <v>140</v>
      </c>
      <c r="L543" s="88">
        <f>SUM(F543:K543)</f>
        <v>27622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25837</v>
      </c>
      <c r="G544" s="193">
        <f t="shared" ref="G544:L544" si="43">SUM(G541:G543)</f>
        <v>8793</v>
      </c>
      <c r="H544" s="193">
        <f t="shared" si="43"/>
        <v>139281</v>
      </c>
      <c r="I544" s="193">
        <f t="shared" si="43"/>
        <v>4962</v>
      </c>
      <c r="J544" s="193">
        <f t="shared" si="43"/>
        <v>74</v>
      </c>
      <c r="K544" s="193">
        <f t="shared" si="43"/>
        <v>416</v>
      </c>
      <c r="L544" s="193">
        <f t="shared" si="43"/>
        <v>179363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2665435</v>
      </c>
      <c r="G545" s="89">
        <f t="shared" ref="G545:L545" si="44">G524+G529+G534+G539+G544</f>
        <v>990366</v>
      </c>
      <c r="H545" s="89">
        <f t="shared" si="44"/>
        <v>464188</v>
      </c>
      <c r="I545" s="89">
        <f t="shared" si="44"/>
        <v>26205</v>
      </c>
      <c r="J545" s="89">
        <f t="shared" si="44"/>
        <v>15498</v>
      </c>
      <c r="K545" s="89">
        <f t="shared" si="44"/>
        <v>971</v>
      </c>
      <c r="L545" s="89">
        <f t="shared" si="44"/>
        <v>4162663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1497365</v>
      </c>
      <c r="G549" s="87">
        <f>L526</f>
        <v>547166</v>
      </c>
      <c r="H549" s="87">
        <f>L531</f>
        <v>103644</v>
      </c>
      <c r="I549" s="87">
        <f>L536</f>
        <v>7621</v>
      </c>
      <c r="J549" s="87">
        <f>L541</f>
        <v>145336</v>
      </c>
      <c r="K549" s="87">
        <f>SUM(F549:J549)</f>
        <v>2301132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410310</v>
      </c>
      <c r="G550" s="87">
        <f>L527</f>
        <v>90249</v>
      </c>
      <c r="H550" s="87">
        <f>L532</f>
        <v>29324</v>
      </c>
      <c r="I550" s="87">
        <f>L537</f>
        <v>2156</v>
      </c>
      <c r="J550" s="87">
        <f>L542</f>
        <v>6405</v>
      </c>
      <c r="K550" s="87">
        <f>SUM(F550:J550)</f>
        <v>538444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901754</v>
      </c>
      <c r="G551" s="87">
        <f>L528</f>
        <v>321333</v>
      </c>
      <c r="H551" s="87">
        <f>L533</f>
        <v>67420</v>
      </c>
      <c r="I551" s="87">
        <f>L538</f>
        <v>4958</v>
      </c>
      <c r="J551" s="87">
        <f>L543</f>
        <v>27622</v>
      </c>
      <c r="K551" s="87">
        <f>SUM(F551:J551)</f>
        <v>1323087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5">SUM(F549:F551)</f>
        <v>2809429</v>
      </c>
      <c r="G552" s="89">
        <f t="shared" si="45"/>
        <v>958748</v>
      </c>
      <c r="H552" s="89">
        <f t="shared" si="45"/>
        <v>200388</v>
      </c>
      <c r="I552" s="89">
        <f t="shared" si="45"/>
        <v>14735</v>
      </c>
      <c r="J552" s="89">
        <f t="shared" si="45"/>
        <v>179363</v>
      </c>
      <c r="K552" s="89">
        <f t="shared" si="45"/>
        <v>4162663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31518</v>
      </c>
      <c r="G564" s="18">
        <f>34026-31518</f>
        <v>2508</v>
      </c>
      <c r="H564" s="18"/>
      <c r="I564" s="18"/>
      <c r="J564" s="18"/>
      <c r="K564" s="18"/>
      <c r="L564" s="88">
        <f>SUM(F564:K564)</f>
        <v>34026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7">SUM(F562:F564)</f>
        <v>31518</v>
      </c>
      <c r="G565" s="89">
        <f t="shared" si="47"/>
        <v>2508</v>
      </c>
      <c r="H565" s="89">
        <f t="shared" si="47"/>
        <v>0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34026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8">SUM(G567:G569)</f>
        <v>0</v>
      </c>
      <c r="H570" s="193">
        <f t="shared" si="48"/>
        <v>0</v>
      </c>
      <c r="I570" s="193">
        <f t="shared" si="48"/>
        <v>0</v>
      </c>
      <c r="J570" s="193">
        <f t="shared" si="48"/>
        <v>0</v>
      </c>
      <c r="K570" s="193">
        <f t="shared" si="48"/>
        <v>0</v>
      </c>
      <c r="L570" s="193">
        <f t="shared" si="48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31518</v>
      </c>
      <c r="G571" s="89">
        <f t="shared" ref="G571:L571" si="49">G560+G565+G570</f>
        <v>2508</v>
      </c>
      <c r="H571" s="89">
        <f t="shared" si="49"/>
        <v>0</v>
      </c>
      <c r="I571" s="89">
        <f t="shared" si="49"/>
        <v>0</v>
      </c>
      <c r="J571" s="89">
        <f t="shared" si="49"/>
        <v>0</v>
      </c>
      <c r="K571" s="89">
        <f t="shared" si="49"/>
        <v>0</v>
      </c>
      <c r="L571" s="89">
        <f t="shared" si="49"/>
        <v>34026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0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1784</v>
      </c>
      <c r="H579" s="18">
        <v>39946</v>
      </c>
      <c r="I579" s="87">
        <f t="shared" si="50"/>
        <v>41730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123478</v>
      </c>
      <c r="G582" s="18"/>
      <c r="H582" s="18">
        <v>40297</v>
      </c>
      <c r="I582" s="87">
        <f t="shared" si="50"/>
        <v>163775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9297</v>
      </c>
      <c r="I584" s="87">
        <f t="shared" si="50"/>
        <v>9297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0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227039</v>
      </c>
      <c r="I591" s="18">
        <v>62837</v>
      </c>
      <c r="J591" s="18">
        <v>143632</v>
      </c>
      <c r="K591" s="104">
        <f t="shared" ref="K591:K597" si="51">SUM(H591:J591)</f>
        <v>433508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L541</f>
        <v>145336</v>
      </c>
      <c r="I592" s="18">
        <f>L542</f>
        <v>6405</v>
      </c>
      <c r="J592" s="18">
        <f>L543</f>
        <v>27622</v>
      </c>
      <c r="K592" s="104">
        <f t="shared" si="51"/>
        <v>179363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12978</v>
      </c>
      <c r="K593" s="104">
        <f t="shared" si="51"/>
        <v>12978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9619</v>
      </c>
      <c r="J594" s="18">
        <v>42309</v>
      </c>
      <c r="K594" s="104">
        <f t="shared" si="51"/>
        <v>51928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801+1500</f>
        <v>2301</v>
      </c>
      <c r="I595" s="18">
        <v>1182</v>
      </c>
      <c r="J595" s="18">
        <v>2590</v>
      </c>
      <c r="K595" s="104">
        <f t="shared" si="51"/>
        <v>6073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1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374676</v>
      </c>
      <c r="I598" s="108">
        <f>SUM(I591:I597)</f>
        <v>80043</v>
      </c>
      <c r="J598" s="108">
        <f>SUM(J591:J597)</f>
        <v>229131</v>
      </c>
      <c r="K598" s="108">
        <f>SUM(K591:K597)</f>
        <v>683850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H336+J290+J211</f>
        <v>71994</v>
      </c>
      <c r="I604" s="18">
        <f>+J309+J229</f>
        <v>46577</v>
      </c>
      <c r="J604" s="18">
        <f>+J328+J247</f>
        <v>124638</v>
      </c>
      <c r="K604" s="104">
        <f>SUM(H604:J604)</f>
        <v>243209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71994</v>
      </c>
      <c r="I605" s="108">
        <f>SUM(I602:I604)</f>
        <v>46577</v>
      </c>
      <c r="J605" s="108">
        <f>SUM(J602:J604)</f>
        <v>124638</v>
      </c>
      <c r="K605" s="108">
        <f>SUM(K602:K604)</f>
        <v>243209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2218+13550+632+2257+1682+1094-3</f>
        <v>21430</v>
      </c>
      <c r="G611" s="18">
        <f>484+2315+138+492+139+157-1</f>
        <v>3724</v>
      </c>
      <c r="H611" s="18">
        <v>815</v>
      </c>
      <c r="I611" s="18"/>
      <c r="J611" s="18"/>
      <c r="K611" s="18"/>
      <c r="L611" s="88">
        <f>SUM(F611:K611)</f>
        <v>25969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3834+179+476+309</f>
        <v>4798</v>
      </c>
      <c r="G612" s="18">
        <f>655+39+38+44</f>
        <v>776</v>
      </c>
      <c r="H612" s="18">
        <v>230</v>
      </c>
      <c r="I612" s="18"/>
      <c r="J612" s="18"/>
      <c r="K612" s="18"/>
      <c r="L612" s="88">
        <f>SUM(F612:K612)</f>
        <v>5804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8814+411+1094+711-2</f>
        <v>11028</v>
      </c>
      <c r="G613" s="18">
        <f>1506+90+87+102</f>
        <v>1785</v>
      </c>
      <c r="H613" s="18">
        <v>530</v>
      </c>
      <c r="I613" s="18"/>
      <c r="J613" s="18"/>
      <c r="K613" s="18"/>
      <c r="L613" s="88">
        <f>SUM(F613:K613)</f>
        <v>13343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2">SUM(F611:F613)</f>
        <v>37256</v>
      </c>
      <c r="G614" s="108">
        <f t="shared" si="52"/>
        <v>6285</v>
      </c>
      <c r="H614" s="108">
        <f t="shared" si="52"/>
        <v>1575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45116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1108177</v>
      </c>
      <c r="H617" s="109">
        <f>SUM(F52)</f>
        <v>1108177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9294</v>
      </c>
      <c r="H618" s="109">
        <f>SUM(G52)</f>
        <v>9294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82141</v>
      </c>
      <c r="H619" s="109">
        <f>SUM(H52)</f>
        <v>82141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311760</v>
      </c>
      <c r="H621" s="109">
        <f>SUM(J52)</f>
        <v>311760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945746</v>
      </c>
      <c r="H622" s="109">
        <f>F476</f>
        <v>945746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311760</v>
      </c>
      <c r="H626" s="109">
        <f>J476</f>
        <v>311760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16554514</v>
      </c>
      <c r="H627" s="104">
        <f>SUM(F468)</f>
        <v>16554514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364358</v>
      </c>
      <c r="H628" s="104">
        <f>SUM(G468)</f>
        <v>364358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384471</v>
      </c>
      <c r="H629" s="104">
        <f>SUM(H468)</f>
        <v>384471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70268</v>
      </c>
      <c r="H631" s="104">
        <f>SUM(J468)</f>
        <v>70268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16214214</v>
      </c>
      <c r="H632" s="104">
        <f>SUM(F472)</f>
        <v>16214214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384471</v>
      </c>
      <c r="H633" s="104">
        <f>SUM(H472)</f>
        <v>384471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123698</v>
      </c>
      <c r="H634" s="104">
        <f>I369</f>
        <v>123698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364358</v>
      </c>
      <c r="H635" s="104">
        <f>SUM(G472)</f>
        <v>364358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70268</v>
      </c>
      <c r="H637" s="164">
        <f>SUM(J468)</f>
        <v>70268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229984</v>
      </c>
      <c r="H638" s="164">
        <f>SUM(J472)</f>
        <v>229984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78274</v>
      </c>
      <c r="H639" s="104">
        <f>SUM(F461)</f>
        <v>78274</v>
      </c>
      <c r="I639" s="140" t="s">
        <v>857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233486</v>
      </c>
      <c r="H640" s="104">
        <f>SUM(G461)</f>
        <v>233486</v>
      </c>
      <c r="I640" s="140" t="s">
        <v>858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311760</v>
      </c>
      <c r="H642" s="104">
        <f>SUM(I461)</f>
        <v>311760</v>
      </c>
      <c r="I642" s="140" t="s">
        <v>860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268</v>
      </c>
      <c r="H644" s="104">
        <f>H408</f>
        <v>268</v>
      </c>
      <c r="I644" s="140" t="s">
        <v>481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70000</v>
      </c>
      <c r="H645" s="104">
        <f>G408</f>
        <v>70000</v>
      </c>
      <c r="I645" s="140" t="s">
        <v>482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70268</v>
      </c>
      <c r="H646" s="104">
        <f>L408</f>
        <v>70268</v>
      </c>
      <c r="I646" s="140" t="s">
        <v>478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683850</v>
      </c>
      <c r="H647" s="104">
        <f>L208+L226+L244</f>
        <v>683850</v>
      </c>
      <c r="I647" s="140" t="s">
        <v>397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243209</v>
      </c>
      <c r="H648" s="104">
        <f>(J257+J338)-(J255+J336)</f>
        <v>243209</v>
      </c>
      <c r="I648" s="140" t="s">
        <v>703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374676</v>
      </c>
      <c r="H649" s="104">
        <f>H598</f>
        <v>374676</v>
      </c>
      <c r="I649" s="140" t="s">
        <v>389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80043</v>
      </c>
      <c r="H650" s="104">
        <f>I598</f>
        <v>80043</v>
      </c>
      <c r="I650" s="140" t="s">
        <v>390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229131</v>
      </c>
      <c r="H651" s="104">
        <f>J598</f>
        <v>229131</v>
      </c>
      <c r="I651" s="140" t="s">
        <v>391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109351</v>
      </c>
      <c r="H652" s="104">
        <f>K263+K345</f>
        <v>109351</v>
      </c>
      <c r="I652" s="140" t="s">
        <v>398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3782</v>
      </c>
      <c r="H653" s="104">
        <f>K264</f>
        <v>3782</v>
      </c>
      <c r="I653" s="140" t="s">
        <v>399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70000</v>
      </c>
      <c r="H655" s="104">
        <f>K266+K347</f>
        <v>70000</v>
      </c>
      <c r="I655" s="140" t="s">
        <v>401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8241910</v>
      </c>
      <c r="G660" s="19">
        <f>(L229+L309+L359)</f>
        <v>2371554</v>
      </c>
      <c r="H660" s="19">
        <f>(L247+L328+L360)</f>
        <v>5584053</v>
      </c>
      <c r="I660" s="19">
        <f>SUM(F660:H660)</f>
        <v>16197517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92654.184620620377</v>
      </c>
      <c r="G661" s="19">
        <f>(L359/IF(SUM(L358:L360)=0,1,SUM(L358:L360))*(SUM(G97:G110)))</f>
        <v>25092.956026764885</v>
      </c>
      <c r="H661" s="19">
        <f>(L360/IF(SUM(L358:L360)=0,1,SUM(L358:L360))*(SUM(G97:G110)))</f>
        <v>58265.859352614738</v>
      </c>
      <c r="I661" s="19">
        <f>SUM(F661:H661)</f>
        <v>176013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375573</v>
      </c>
      <c r="G662" s="19">
        <f>(L226+L306)-(J226+J306)</f>
        <v>80032</v>
      </c>
      <c r="H662" s="19">
        <f>(L244+L325)-(J244+J325)</f>
        <v>229314</v>
      </c>
      <c r="I662" s="19">
        <f>SUM(F662:H662)</f>
        <v>684919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221441</v>
      </c>
      <c r="G663" s="199">
        <f>SUM(G575:G587)+SUM(I602:I604)+L612</f>
        <v>54165</v>
      </c>
      <c r="H663" s="199">
        <f>SUM(H575:H587)+SUM(J602:J604)+L613</f>
        <v>227521</v>
      </c>
      <c r="I663" s="19">
        <f>SUM(F663:H663)</f>
        <v>503127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7552241.8153793793</v>
      </c>
      <c r="G664" s="19">
        <f>G660-SUM(G661:G663)</f>
        <v>2212264.0439732349</v>
      </c>
      <c r="H664" s="19">
        <f>H660-SUM(H661:H663)</f>
        <v>5068952.1406473853</v>
      </c>
      <c r="I664" s="19">
        <f>I660-SUM(I661:I663)</f>
        <v>14833458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448.45</v>
      </c>
      <c r="G665" s="248">
        <v>126.88</v>
      </c>
      <c r="H665" s="248">
        <v>291.72000000000003</v>
      </c>
      <c r="I665" s="19">
        <f>SUM(F665:H665)</f>
        <v>867.05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16840.77</v>
      </c>
      <c r="G667" s="19">
        <f>ROUND(G664/G665,2)</f>
        <v>17435.88</v>
      </c>
      <c r="H667" s="19">
        <f>ROUND(H664/H665,2)</f>
        <v>17376.09</v>
      </c>
      <c r="I667" s="19">
        <f>ROUND(I664/I665,2)</f>
        <v>17107.96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-4.32</v>
      </c>
      <c r="I670" s="19">
        <f>SUM(F670:H670)</f>
        <v>-4.32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16840.77</v>
      </c>
      <c r="G672" s="19">
        <f>ROUND((G664+G669)/(G665+G670),2)</f>
        <v>17435.88</v>
      </c>
      <c r="H672" s="19">
        <f>ROUND((H664+H669)/(H665+H670),2)</f>
        <v>17637.27</v>
      </c>
      <c r="I672" s="19">
        <f>ROUND((I664+I669)/(I665+I670),2)</f>
        <v>17193.63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60" orientation="landscape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50" zoomScaleNormal="150" zoomScalePageLayoutView="150" workbookViewId="0">
      <selection activeCell="B20" sqref="B20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HOPKINTON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4650310</v>
      </c>
      <c r="C9" s="229">
        <f>'DOE25'!G197+'DOE25'!G215+'DOE25'!G233+'DOE25'!G276+'DOE25'!G295+'DOE25'!G314</f>
        <v>2083503</v>
      </c>
    </row>
    <row r="10" spans="1:3" x14ac:dyDescent="0.2">
      <c r="A10" t="s">
        <v>779</v>
      </c>
      <c r="B10" s="240">
        <v>4544673</v>
      </c>
      <c r="C10" s="240">
        <v>2067701</v>
      </c>
    </row>
    <row r="11" spans="1:3" x14ac:dyDescent="0.2">
      <c r="A11" t="s">
        <v>780</v>
      </c>
      <c r="B11" s="240">
        <v>20257</v>
      </c>
      <c r="C11" s="240">
        <v>4996</v>
      </c>
    </row>
    <row r="12" spans="1:3" x14ac:dyDescent="0.2">
      <c r="A12" t="s">
        <v>781</v>
      </c>
      <c r="B12" s="240">
        <v>85380</v>
      </c>
      <c r="C12" s="240">
        <v>10806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4650310</v>
      </c>
      <c r="C13" s="231">
        <f>SUM(C10:C12)</f>
        <v>2083503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1851112</v>
      </c>
      <c r="C18" s="229">
        <f>'DOE25'!G198+'DOE25'!G216+'DOE25'!G234+'DOE25'!G277+'DOE25'!G296+'DOE25'!G315</f>
        <v>677945</v>
      </c>
    </row>
    <row r="19" spans="1:3" x14ac:dyDescent="0.2">
      <c r="A19" t="s">
        <v>779</v>
      </c>
      <c r="B19" s="240">
        <v>1065940</v>
      </c>
      <c r="C19" s="240">
        <v>438906</v>
      </c>
    </row>
    <row r="20" spans="1:3" x14ac:dyDescent="0.2">
      <c r="A20" t="s">
        <v>780</v>
      </c>
      <c r="B20" s="240">
        <v>785172</v>
      </c>
      <c r="C20" s="240">
        <v>239039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1851112</v>
      </c>
      <c r="C22" s="231">
        <f>SUM(C19:C21)</f>
        <v>677945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204425</v>
      </c>
      <c r="C36" s="235">
        <f>'DOE25'!G200+'DOE25'!G218+'DOE25'!G236+'DOE25'!G279+'DOE25'!G298+'DOE25'!G317</f>
        <v>45793</v>
      </c>
    </row>
    <row r="37" spans="1:3" x14ac:dyDescent="0.2">
      <c r="A37" t="s">
        <v>779</v>
      </c>
      <c r="B37" s="240">
        <v>204425</v>
      </c>
      <c r="C37" s="240">
        <v>45793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204425</v>
      </c>
      <c r="C40" s="231">
        <f>SUM(C37:C39)</f>
        <v>45793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FY2013-2014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  <pageSetUpPr fitToPage="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HOPKINTON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9817608</v>
      </c>
      <c r="D5" s="20">
        <f>SUM('DOE25'!L197:L200)+SUM('DOE25'!L215:L218)+SUM('DOE25'!L233:L236)-F5-G5</f>
        <v>9768529</v>
      </c>
      <c r="E5" s="243"/>
      <c r="F5" s="255">
        <f>SUM('DOE25'!J197:J200)+SUM('DOE25'!J215:J218)+SUM('DOE25'!J233:J236)</f>
        <v>43100</v>
      </c>
      <c r="G5" s="53">
        <f>SUM('DOE25'!K197:K200)+SUM('DOE25'!K215:K218)+SUM('DOE25'!K233:K236)</f>
        <v>5979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1225241</v>
      </c>
      <c r="D6" s="20">
        <f>'DOE25'!L202+'DOE25'!L220+'DOE25'!L238-F6-G6</f>
        <v>1222107</v>
      </c>
      <c r="E6" s="243"/>
      <c r="F6" s="255">
        <f>'DOE25'!J202+'DOE25'!J220+'DOE25'!J238</f>
        <v>3109</v>
      </c>
      <c r="G6" s="53">
        <f>'DOE25'!K202+'DOE25'!K220+'DOE25'!K238</f>
        <v>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892227</v>
      </c>
      <c r="D7" s="20">
        <f>'DOE25'!L203+'DOE25'!L221+'DOE25'!L239-F7-G7</f>
        <v>773917</v>
      </c>
      <c r="E7" s="243"/>
      <c r="F7" s="255">
        <f>'DOE25'!J203+'DOE25'!J221+'DOE25'!J239</f>
        <v>101434</v>
      </c>
      <c r="G7" s="53">
        <f>'DOE25'!K203+'DOE25'!K221+'DOE25'!K239</f>
        <v>16876</v>
      </c>
      <c r="H7" s="259"/>
    </row>
    <row r="8" spans="1:9" x14ac:dyDescent="0.2">
      <c r="A8" s="32">
        <v>2300</v>
      </c>
      <c r="B8" t="s">
        <v>802</v>
      </c>
      <c r="C8" s="245">
        <f t="shared" si="0"/>
        <v>232092</v>
      </c>
      <c r="D8" s="243"/>
      <c r="E8" s="20">
        <f>'DOE25'!L204+'DOE25'!L222+'DOE25'!L240-F8-G8-D9-D11</f>
        <v>214816</v>
      </c>
      <c r="F8" s="255">
        <f>'DOE25'!J204+'DOE25'!J222+'DOE25'!J240</f>
        <v>1462</v>
      </c>
      <c r="G8" s="53">
        <f>'DOE25'!K204+'DOE25'!K222+'DOE25'!K240</f>
        <v>15814</v>
      </c>
      <c r="H8" s="259"/>
    </row>
    <row r="9" spans="1:9" x14ac:dyDescent="0.2">
      <c r="A9" s="32">
        <v>2310</v>
      </c>
      <c r="B9" t="s">
        <v>818</v>
      </c>
      <c r="C9" s="245">
        <f t="shared" si="0"/>
        <v>14814</v>
      </c>
      <c r="D9" s="244">
        <v>14814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12456</v>
      </c>
      <c r="D10" s="243"/>
      <c r="E10" s="244">
        <v>12456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335127</v>
      </c>
      <c r="D11" s="244">
        <f>3045+332082</f>
        <v>335127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821836</v>
      </c>
      <c r="D12" s="20">
        <f>'DOE25'!L205+'DOE25'!L223+'DOE25'!L241-F12-G12</f>
        <v>814020</v>
      </c>
      <c r="E12" s="243"/>
      <c r="F12" s="255">
        <f>'DOE25'!J205+'DOE25'!J223+'DOE25'!J241</f>
        <v>940</v>
      </c>
      <c r="G12" s="53">
        <f>'DOE25'!K205+'DOE25'!K223+'DOE25'!K241</f>
        <v>6876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250520</v>
      </c>
      <c r="D13" s="243"/>
      <c r="E13" s="20">
        <f>'DOE25'!L206+'DOE25'!L224+'DOE25'!L242-F13-G13</f>
        <v>250520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1210666</v>
      </c>
      <c r="D14" s="20">
        <f>'DOE25'!L207+'DOE25'!L225+'DOE25'!L243-F14-G14</f>
        <v>1163668</v>
      </c>
      <c r="E14" s="243"/>
      <c r="F14" s="255">
        <f>'DOE25'!J207+'DOE25'!J225+'DOE25'!J243</f>
        <v>46998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683850</v>
      </c>
      <c r="D15" s="20">
        <f>'DOE25'!L208+'DOE25'!L226+'DOE25'!L244-F15-G15</f>
        <v>683102</v>
      </c>
      <c r="E15" s="243"/>
      <c r="F15" s="255">
        <f>'DOE25'!J208+'DOE25'!J226+'DOE25'!J244</f>
        <v>74</v>
      </c>
      <c r="G15" s="53">
        <f>'DOE25'!K208+'DOE25'!K226+'DOE25'!K244</f>
        <v>674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27655</v>
      </c>
      <c r="D22" s="243"/>
      <c r="E22" s="243"/>
      <c r="F22" s="255">
        <f>'DOE25'!L255+'DOE25'!L336</f>
        <v>27655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547100</v>
      </c>
      <c r="D25" s="243"/>
      <c r="E25" s="243"/>
      <c r="F25" s="258"/>
      <c r="G25" s="256"/>
      <c r="H25" s="257">
        <f>'DOE25'!L260+'DOE25'!L261+'DOE25'!L341+'DOE25'!L342</f>
        <v>547100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248803</v>
      </c>
      <c r="D29" s="20">
        <f>'DOE25'!L358+'DOE25'!L359+'DOE25'!L360-'DOE25'!I367-F29-G29</f>
        <v>242026</v>
      </c>
      <c r="E29" s="243"/>
      <c r="F29" s="255">
        <f>'DOE25'!J358+'DOE25'!J359+'DOE25'!J360</f>
        <v>5988</v>
      </c>
      <c r="G29" s="53">
        <f>'DOE25'!K358+'DOE25'!K359+'DOE25'!K360</f>
        <v>789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356676</v>
      </c>
      <c r="D31" s="20">
        <f>'DOE25'!L290+'DOE25'!L309+'DOE25'!L328+'DOE25'!L333+'DOE25'!L334+'DOE25'!L335-F31-G31</f>
        <v>296930</v>
      </c>
      <c r="E31" s="243"/>
      <c r="F31" s="255">
        <f>'DOE25'!J290+'DOE25'!J309+'DOE25'!J328+'DOE25'!J333+'DOE25'!J334+'DOE25'!J335</f>
        <v>46092</v>
      </c>
      <c r="G31" s="53">
        <f>'DOE25'!K290+'DOE25'!K309+'DOE25'!K328+'DOE25'!K333+'DOE25'!K334+'DOE25'!K335</f>
        <v>13654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15314240</v>
      </c>
      <c r="E33" s="246">
        <f>SUM(E5:E31)</f>
        <v>477792</v>
      </c>
      <c r="F33" s="246">
        <f>SUM(F5:F31)</f>
        <v>276852</v>
      </c>
      <c r="G33" s="246">
        <f>SUM(G5:G31)</f>
        <v>60687</v>
      </c>
      <c r="H33" s="246">
        <f>SUM(H5:H31)</f>
        <v>547100</v>
      </c>
    </row>
    <row r="35" spans="2:8" ht="12" thickBot="1" x14ac:dyDescent="0.25">
      <c r="B35" s="253" t="s">
        <v>847</v>
      </c>
      <c r="D35" s="254">
        <f>E33</f>
        <v>477792</v>
      </c>
      <c r="E35" s="249"/>
    </row>
    <row r="36" spans="2:8" ht="12" thickTop="1" x14ac:dyDescent="0.2">
      <c r="B36" t="s">
        <v>815</v>
      </c>
      <c r="D36" s="20">
        <f>D33</f>
        <v>15314240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9" orientation="landscape"/>
  <headerFooter alignWithMargins="0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150" zoomScaleNormal="150" zoomScalePageLayoutView="150" workbookViewId="0">
      <pane ySplit="2" topLeftCell="A102" activePane="bottomLeft" state="frozen"/>
      <selection activeCell="F46" sqref="F46"/>
      <selection pane="bottomLeft" activeCell="C141" sqref="C141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HOPKINTON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764608</v>
      </c>
      <c r="D8" s="95">
        <f>'DOE25'!G9</f>
        <v>100</v>
      </c>
      <c r="E8" s="95">
        <f>'DOE25'!H9</f>
        <v>0</v>
      </c>
      <c r="F8" s="95">
        <f>'DOE25'!I9</f>
        <v>0</v>
      </c>
      <c r="G8" s="95">
        <f>'DOE25'!J9</f>
        <v>311760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240124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50030</v>
      </c>
      <c r="D11" s="95">
        <f>'DOE25'!G12</f>
        <v>4719</v>
      </c>
      <c r="E11" s="95">
        <f>'DOE25'!H12</f>
        <v>34958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1198</v>
      </c>
      <c r="D12" s="95">
        <f>'DOE25'!G13</f>
        <v>4310</v>
      </c>
      <c r="E12" s="95">
        <f>'DOE25'!H13</f>
        <v>47183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17307</v>
      </c>
      <c r="D13" s="95">
        <f>'DOE25'!G14</f>
        <v>165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34910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1108177</v>
      </c>
      <c r="D18" s="41">
        <f>SUM(D8:D17)</f>
        <v>9294</v>
      </c>
      <c r="E18" s="41">
        <f>SUM(E8:E17)</f>
        <v>82141</v>
      </c>
      <c r="F18" s="41">
        <f>SUM(F8:F17)</f>
        <v>0</v>
      </c>
      <c r="G18" s="41">
        <f>SUM(G8:G17)</f>
        <v>311760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55006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34700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81641</v>
      </c>
      <c r="D23" s="95">
        <f>'DOE25'!G24</f>
        <v>0</v>
      </c>
      <c r="E23" s="95">
        <f>'DOE25'!H24</f>
        <v>1752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22343</v>
      </c>
      <c r="D27" s="95">
        <f>'DOE25'!G28</f>
        <v>0</v>
      </c>
      <c r="E27" s="95">
        <f>'DOE25'!H28</f>
        <v>1332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9294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3441</v>
      </c>
      <c r="D30" s="95">
        <f>'DOE25'!G31</f>
        <v>0</v>
      </c>
      <c r="E30" s="95">
        <f>'DOE25'!H31</f>
        <v>44357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162431</v>
      </c>
      <c r="D31" s="41">
        <f>SUM(D21:D30)</f>
        <v>9294</v>
      </c>
      <c r="E31" s="41">
        <f>SUM(E21:E30)</f>
        <v>82141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34910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121000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250000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311760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171227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368609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945746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311760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1108177</v>
      </c>
      <c r="D51" s="41">
        <f>D50+D31</f>
        <v>9294</v>
      </c>
      <c r="E51" s="41">
        <f>E50+E31</f>
        <v>82141</v>
      </c>
      <c r="F51" s="41">
        <f>F50+F31</f>
        <v>0</v>
      </c>
      <c r="G51" s="41">
        <f>G50+G31</f>
        <v>311760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12163635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103629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268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176013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328039</v>
      </c>
      <c r="D61" s="95">
        <f>SUM('DOE25'!G98:G110)</f>
        <v>0</v>
      </c>
      <c r="E61" s="95">
        <f>SUM('DOE25'!H98:H110)</f>
        <v>56348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431826</v>
      </c>
      <c r="D62" s="130">
        <f>SUM(D57:D61)</f>
        <v>176013</v>
      </c>
      <c r="E62" s="130">
        <f>SUM(E57:E61)</f>
        <v>56348</v>
      </c>
      <c r="F62" s="130">
        <f>SUM(F57:F61)</f>
        <v>0</v>
      </c>
      <c r="G62" s="130">
        <f>SUM(G57:G61)</f>
        <v>268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12595461</v>
      </c>
      <c r="D63" s="22">
        <f>D56+D62</f>
        <v>176013</v>
      </c>
      <c r="E63" s="22">
        <f>E56+E62</f>
        <v>56348</v>
      </c>
      <c r="F63" s="22">
        <f>F56+F62</f>
        <v>0</v>
      </c>
      <c r="G63" s="22">
        <f>G56+G62</f>
        <v>268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1959685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1546201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20586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3526472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143286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73659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4024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4219</v>
      </c>
      <c r="E77" s="95">
        <f>SUM('DOE25'!H131:H135)</f>
        <v>40669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220969</v>
      </c>
      <c r="D78" s="130">
        <f>SUM(D72:D77)</f>
        <v>4219</v>
      </c>
      <c r="E78" s="130">
        <f>SUM(E72:E77)</f>
        <v>40669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3747441</v>
      </c>
      <c r="D81" s="130">
        <f>SUM(D79:D80)+D78+D70</f>
        <v>4219</v>
      </c>
      <c r="E81" s="130">
        <f>SUM(E79:E80)+E78+E70</f>
        <v>40669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2448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209164</v>
      </c>
      <c r="D88" s="95">
        <f>SUM('DOE25'!G153:G161)</f>
        <v>74775</v>
      </c>
      <c r="E88" s="95">
        <f>SUM('DOE25'!H153:H161)</f>
        <v>283672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211612</v>
      </c>
      <c r="D91" s="131">
        <f>SUM(D85:D90)</f>
        <v>74775</v>
      </c>
      <c r="E91" s="131">
        <f>SUM(E85:E90)</f>
        <v>283672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109351</v>
      </c>
      <c r="E96" s="95">
        <f>'DOE25'!H179</f>
        <v>3782</v>
      </c>
      <c r="F96" s="95">
        <f>'DOE25'!I179</f>
        <v>0</v>
      </c>
      <c r="G96" s="95">
        <f>'DOE25'!J179</f>
        <v>70000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109351</v>
      </c>
      <c r="E103" s="86">
        <f>SUM(E93:E102)</f>
        <v>3782</v>
      </c>
      <c r="F103" s="86">
        <f>SUM(F93:F102)</f>
        <v>0</v>
      </c>
      <c r="G103" s="86">
        <f>SUM(G93:G102)</f>
        <v>70000</v>
      </c>
    </row>
    <row r="104" spans="1:7" ht="12.75" thickTop="1" thickBot="1" x14ac:dyDescent="0.25">
      <c r="A104" s="33" t="s">
        <v>765</v>
      </c>
      <c r="C104" s="86">
        <f>C63+C81+C91+C103</f>
        <v>16554514</v>
      </c>
      <c r="D104" s="86">
        <f>D63+D81+D91+D103</f>
        <v>364358</v>
      </c>
      <c r="E104" s="86">
        <f>E63+E81+E91+E103</f>
        <v>384471</v>
      </c>
      <c r="F104" s="86">
        <f>F63+F81+F91+F103</f>
        <v>0</v>
      </c>
      <c r="G104" s="86">
        <f>G63+G81+G103</f>
        <v>70268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6863844</v>
      </c>
      <c r="D109" s="24" t="s">
        <v>289</v>
      </c>
      <c r="E109" s="95">
        <f>('DOE25'!L276)+('DOE25'!L295)+('DOE25'!L314)</f>
        <v>96991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2612458</v>
      </c>
      <c r="D110" s="24" t="s">
        <v>289</v>
      </c>
      <c r="E110" s="95">
        <f>('DOE25'!L277)+('DOE25'!L296)+('DOE25'!L315)</f>
        <v>196971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9297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332009</v>
      </c>
      <c r="D112" s="24" t="s">
        <v>289</v>
      </c>
      <c r="E112" s="95">
        <f>+('DOE25'!L279)+('DOE25'!L298)+('DOE25'!L317)</f>
        <v>5334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140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7498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9817608</v>
      </c>
      <c r="D115" s="86">
        <f>SUM(D109:D114)</f>
        <v>0</v>
      </c>
      <c r="E115" s="86">
        <f>SUM(E109:E114)</f>
        <v>306934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1225241</v>
      </c>
      <c r="D118" s="24" t="s">
        <v>289</v>
      </c>
      <c r="E118" s="95">
        <f>+('DOE25'!L281)+('DOE25'!L300)+('DOE25'!L319)</f>
        <v>2881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892227</v>
      </c>
      <c r="D119" s="24" t="s">
        <v>289</v>
      </c>
      <c r="E119" s="95">
        <f>+('DOE25'!L282)+('DOE25'!L301)+('DOE25'!L320)</f>
        <v>34466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582033</v>
      </c>
      <c r="D120" s="24" t="s">
        <v>289</v>
      </c>
      <c r="E120" s="95">
        <f>+('DOE25'!L283)+('DOE25'!L302)+('DOE25'!L321)</f>
        <v>828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821836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250520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1210666</v>
      </c>
      <c r="D123" s="24" t="s">
        <v>289</v>
      </c>
      <c r="E123" s="95">
        <f>+('DOE25'!L286)+('DOE25'!L305)+('DOE25'!L324)</f>
        <v>10564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683850</v>
      </c>
      <c r="D124" s="24" t="s">
        <v>289</v>
      </c>
      <c r="E124" s="95">
        <f>+('DOE25'!L287)+('DOE25'!L306)+('DOE25'!L325)</f>
        <v>1143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364358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5666373</v>
      </c>
      <c r="D128" s="86">
        <f>SUM(D118:D127)</f>
        <v>364358</v>
      </c>
      <c r="E128" s="86">
        <f>SUM(E118:E127)</f>
        <v>49882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27655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450000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97100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109351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3782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60039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10229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-268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730233</v>
      </c>
      <c r="D144" s="141">
        <f>SUM(D130:D143)</f>
        <v>0</v>
      </c>
      <c r="E144" s="141">
        <f>SUM(E130:E143)</f>
        <v>27655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16214214</v>
      </c>
      <c r="D145" s="86">
        <f>(D115+D128+D144)</f>
        <v>364358</v>
      </c>
      <c r="E145" s="86">
        <f>(E115+E128+E144)</f>
        <v>384471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5/07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8/17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4745000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 t="str">
        <f>'DOE25'!F494</f>
        <v>3.5 - 5.0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2445000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2445000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450000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450000</v>
      </c>
    </row>
    <row r="159" spans="1:9" x14ac:dyDescent="0.2">
      <c r="A159" s="22" t="s">
        <v>35</v>
      </c>
      <c r="B159" s="137">
        <f>'DOE25'!F498</f>
        <v>1995000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1995000</v>
      </c>
    </row>
    <row r="160" spans="1:9" x14ac:dyDescent="0.2">
      <c r="A160" s="22" t="s">
        <v>36</v>
      </c>
      <c r="B160" s="137">
        <f>'DOE25'!F499</f>
        <v>188450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188450</v>
      </c>
    </row>
    <row r="161" spans="1:7" x14ac:dyDescent="0.2">
      <c r="A161" s="22" t="s">
        <v>37</v>
      </c>
      <c r="B161" s="137">
        <f>'DOE25'!F500</f>
        <v>2183450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2183450</v>
      </c>
    </row>
    <row r="162" spans="1:7" x14ac:dyDescent="0.2">
      <c r="A162" s="22" t="s">
        <v>38</v>
      </c>
      <c r="B162" s="137">
        <f>'DOE25'!F501</f>
        <v>465000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465000</v>
      </c>
    </row>
    <row r="163" spans="1:7" x14ac:dyDescent="0.2">
      <c r="A163" s="22" t="s">
        <v>39</v>
      </c>
      <c r="B163" s="137">
        <f>'DOE25'!F502</f>
        <v>78800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78800</v>
      </c>
    </row>
    <row r="164" spans="1:7" x14ac:dyDescent="0.2">
      <c r="A164" s="22" t="s">
        <v>246</v>
      </c>
      <c r="B164" s="137">
        <f>'DOE25'!F503</f>
        <v>543800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543800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81" orientation="landscape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  <pageSetUpPr fitToPage="1"/>
  </sheetPr>
  <dimension ref="A1:D42"/>
  <sheetViews>
    <sheetView workbookViewId="0">
      <selection activeCell="C26" sqref="C26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HOPKINTON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16841</v>
      </c>
    </row>
    <row r="5" spans="1:4" x14ac:dyDescent="0.2">
      <c r="B5" t="s">
        <v>704</v>
      </c>
      <c r="C5" s="179">
        <f>IF('DOE25'!G665+'DOE25'!G670=0,0,ROUND('DOE25'!G672,0))</f>
        <v>17436</v>
      </c>
    </row>
    <row r="6" spans="1:4" x14ac:dyDescent="0.2">
      <c r="B6" t="s">
        <v>62</v>
      </c>
      <c r="C6" s="179">
        <f>IF('DOE25'!H665+'DOE25'!H670=0,0,ROUND('DOE25'!H672,0))</f>
        <v>17637</v>
      </c>
    </row>
    <row r="7" spans="1:4" x14ac:dyDescent="0.2">
      <c r="B7" t="s">
        <v>705</v>
      </c>
      <c r="C7" s="179">
        <f>IF('DOE25'!I665+'DOE25'!I670=0,0,ROUND('DOE25'!I672,0))</f>
        <v>17194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6960835</v>
      </c>
      <c r="D10" s="182">
        <f>ROUND((C10/$C$28)*100,1)</f>
        <v>43.2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2809429</v>
      </c>
      <c r="D11" s="182">
        <f>ROUND((C11/$C$28)*100,1)</f>
        <v>17.399999999999999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9297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337343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1228122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926693</v>
      </c>
      <c r="D16" s="182">
        <f t="shared" si="0"/>
        <v>5.7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582861</v>
      </c>
      <c r="D17" s="182">
        <f t="shared" si="0"/>
        <v>3.6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821836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250520</v>
      </c>
      <c r="D19" s="182">
        <f t="shared" si="0"/>
        <v>1.6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1221230</v>
      </c>
      <c r="D20" s="182">
        <f t="shared" si="0"/>
        <v>7.6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684993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140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7498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97100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188345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16126242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27655</v>
      </c>
    </row>
    <row r="30" spans="1:4" x14ac:dyDescent="0.2">
      <c r="B30" s="187" t="s">
        <v>729</v>
      </c>
      <c r="C30" s="180">
        <f>SUM(C28:C29)</f>
        <v>16153897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450000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12163635</v>
      </c>
      <c r="D35" s="182">
        <f t="shared" ref="D35:D40" si="1">ROUND((C35/$C$41)*100,1)</f>
        <v>71.5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488442</v>
      </c>
      <c r="D36" s="182">
        <f t="shared" si="1"/>
        <v>2.9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3505886</v>
      </c>
      <c r="D37" s="182">
        <f t="shared" si="1"/>
        <v>20.6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286443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570059</v>
      </c>
      <c r="D39" s="182">
        <f t="shared" si="1"/>
        <v>3.4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17014465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HOPKINTON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3</v>
      </c>
      <c r="B4" s="219">
        <v>23</v>
      </c>
      <c r="C4" s="284" t="s">
        <v>915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2014-08-05T15:31:34Z</cp:lastPrinted>
  <dcterms:created xsi:type="dcterms:W3CDTF">1997-12-04T19:04:30Z</dcterms:created>
  <dcterms:modified xsi:type="dcterms:W3CDTF">2014-12-05T16:12:58Z</dcterms:modified>
</cp:coreProperties>
</file>