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F665" i="1" l="1"/>
  <c r="C37" i="12"/>
  <c r="B30" i="12"/>
  <c r="B29" i="12"/>
  <c r="B28" i="12"/>
  <c r="B21" i="12"/>
  <c r="B20" i="12"/>
  <c r="B19" i="12"/>
  <c r="B11" i="12"/>
  <c r="B12" i="12"/>
  <c r="B10" i="12"/>
  <c r="J604" i="1" l="1"/>
  <c r="I604" i="1"/>
  <c r="H604" i="1"/>
  <c r="H591" i="1"/>
  <c r="J591" i="1"/>
  <c r="H244" i="1"/>
  <c r="H208" i="1"/>
  <c r="H236" i="1"/>
  <c r="H218" i="1"/>
  <c r="H226" i="1"/>
  <c r="H235" i="1"/>
  <c r="H562" i="1"/>
  <c r="G563" i="1"/>
  <c r="G562" i="1"/>
  <c r="F564" i="1"/>
  <c r="F563" i="1"/>
  <c r="F562" i="1"/>
  <c r="I527" i="1"/>
  <c r="I526" i="1"/>
  <c r="G527" i="1"/>
  <c r="F527" i="1"/>
  <c r="G526" i="1"/>
  <c r="F526" i="1"/>
  <c r="H528" i="1"/>
  <c r="H527" i="1"/>
  <c r="H526" i="1"/>
  <c r="G528" i="1"/>
  <c r="F528" i="1"/>
  <c r="I528" i="1"/>
  <c r="H523" i="1"/>
  <c r="H522" i="1"/>
  <c r="H521" i="1"/>
  <c r="H472" i="1" l="1"/>
  <c r="H104" i="1"/>
  <c r="H468" i="1"/>
  <c r="H333" i="1"/>
  <c r="K316" i="1"/>
  <c r="J316" i="1"/>
  <c r="I316" i="1"/>
  <c r="H316" i="1"/>
  <c r="G316" i="1"/>
  <c r="F316" i="1"/>
  <c r="H96" i="1" l="1"/>
  <c r="H24" i="1"/>
  <c r="H48" i="1"/>
  <c r="H9" i="1"/>
  <c r="H389" i="1"/>
  <c r="G439" i="1"/>
  <c r="J465" i="1"/>
  <c r="G459" i="1"/>
  <c r="J468" i="1"/>
  <c r="K432" i="1"/>
  <c r="J432" i="1"/>
  <c r="I432" i="1"/>
  <c r="H432" i="1"/>
  <c r="I360" i="1" l="1"/>
  <c r="I359" i="1"/>
  <c r="I358" i="1"/>
  <c r="J203" i="1" l="1"/>
  <c r="J197" i="1"/>
  <c r="K202" i="1"/>
  <c r="J221" i="1"/>
  <c r="K206" i="1"/>
  <c r="J204" i="1"/>
  <c r="G158" i="1"/>
  <c r="G97" i="1"/>
  <c r="G48" i="1"/>
  <c r="F127" i="1"/>
  <c r="F102" i="1"/>
  <c r="F110" i="1"/>
  <c r="F29" i="1" l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F16" i="13"/>
  <c r="G16" i="13"/>
  <c r="L209" i="1"/>
  <c r="E16" i="13" s="1"/>
  <c r="C16" i="13" s="1"/>
  <c r="L227" i="1"/>
  <c r="L245" i="1"/>
  <c r="F5" i="13"/>
  <c r="G5" i="13"/>
  <c r="L197" i="1"/>
  <c r="L198" i="1"/>
  <c r="L199" i="1"/>
  <c r="C12" i="10" s="1"/>
  <c r="L200" i="1"/>
  <c r="C13" i="10" s="1"/>
  <c r="L215" i="1"/>
  <c r="L216" i="1"/>
  <c r="L217" i="1"/>
  <c r="L218" i="1"/>
  <c r="L233" i="1"/>
  <c r="L234" i="1"/>
  <c r="L235" i="1"/>
  <c r="L236" i="1"/>
  <c r="F6" i="13"/>
  <c r="G6" i="13"/>
  <c r="L202" i="1"/>
  <c r="L220" i="1"/>
  <c r="D6" i="13" s="1"/>
  <c r="C6" i="13" s="1"/>
  <c r="L238" i="1"/>
  <c r="F7" i="13"/>
  <c r="G7" i="13"/>
  <c r="L203" i="1"/>
  <c r="L221" i="1"/>
  <c r="L239" i="1"/>
  <c r="F12" i="13"/>
  <c r="G12" i="13"/>
  <c r="L205" i="1"/>
  <c r="L223" i="1"/>
  <c r="L241" i="1"/>
  <c r="C121" i="2" s="1"/>
  <c r="F14" i="13"/>
  <c r="G14" i="13"/>
  <c r="L207" i="1"/>
  <c r="L225" i="1"/>
  <c r="D14" i="13" s="1"/>
  <c r="C14" i="13" s="1"/>
  <c r="L243" i="1"/>
  <c r="C20" i="10" s="1"/>
  <c r="F15" i="13"/>
  <c r="G15" i="13"/>
  <c r="L208" i="1"/>
  <c r="H647" i="1" s="1"/>
  <c r="L226" i="1"/>
  <c r="G650" i="1" s="1"/>
  <c r="L244" i="1"/>
  <c r="F17" i="13"/>
  <c r="G17" i="13"/>
  <c r="L251" i="1"/>
  <c r="D17" i="13" s="1"/>
  <c r="C17" i="13" s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D127" i="2" s="1"/>
  <c r="D128" i="2" s="1"/>
  <c r="I367" i="1"/>
  <c r="D29" i="13" s="1"/>
  <c r="C29" i="13" s="1"/>
  <c r="J290" i="1"/>
  <c r="J309" i="1"/>
  <c r="J328" i="1"/>
  <c r="K290" i="1"/>
  <c r="K309" i="1"/>
  <c r="K328" i="1"/>
  <c r="L276" i="1"/>
  <c r="L277" i="1"/>
  <c r="E110" i="2" s="1"/>
  <c r="L278" i="1"/>
  <c r="L279" i="1"/>
  <c r="L281" i="1"/>
  <c r="E118" i="2" s="1"/>
  <c r="E128" i="2" s="1"/>
  <c r="L282" i="1"/>
  <c r="E119" i="2" s="1"/>
  <c r="L283" i="1"/>
  <c r="L284" i="1"/>
  <c r="L285" i="1"/>
  <c r="L286" i="1"/>
  <c r="E123" i="2" s="1"/>
  <c r="L287" i="1"/>
  <c r="L288" i="1"/>
  <c r="L295" i="1"/>
  <c r="L296" i="1"/>
  <c r="L297" i="1"/>
  <c r="L298" i="1"/>
  <c r="L300" i="1"/>
  <c r="L301" i="1"/>
  <c r="L309" i="1" s="1"/>
  <c r="L302" i="1"/>
  <c r="L303" i="1"/>
  <c r="L304" i="1"/>
  <c r="L305" i="1"/>
  <c r="L306" i="1"/>
  <c r="L307" i="1"/>
  <c r="L314" i="1"/>
  <c r="L328" i="1" s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132" i="2" s="1"/>
  <c r="L341" i="1"/>
  <c r="E131" i="2" s="1"/>
  <c r="L342" i="1"/>
  <c r="L255" i="1"/>
  <c r="L336" i="1"/>
  <c r="C29" i="10" s="1"/>
  <c r="C11" i="13"/>
  <c r="C10" i="13"/>
  <c r="C9" i="13"/>
  <c r="L361" i="1"/>
  <c r="B4" i="12"/>
  <c r="B36" i="12"/>
  <c r="C36" i="12"/>
  <c r="B40" i="12"/>
  <c r="C40" i="12"/>
  <c r="A40" i="12" s="1"/>
  <c r="B27" i="12"/>
  <c r="C27" i="12"/>
  <c r="B31" i="12"/>
  <c r="B9" i="12"/>
  <c r="B13" i="12"/>
  <c r="C9" i="12"/>
  <c r="B18" i="12"/>
  <c r="B22" i="12"/>
  <c r="C18" i="12"/>
  <c r="B1" i="12"/>
  <c r="L387" i="1"/>
  <c r="L388" i="1"/>
  <c r="L389" i="1"/>
  <c r="L390" i="1"/>
  <c r="L391" i="1"/>
  <c r="L392" i="1"/>
  <c r="L395" i="1"/>
  <c r="L401" i="1" s="1"/>
  <c r="C139" i="2" s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C58" i="2" s="1"/>
  <c r="F111" i="1"/>
  <c r="G111" i="1"/>
  <c r="H79" i="1"/>
  <c r="H94" i="1"/>
  <c r="E58" i="2" s="1"/>
  <c r="I111" i="1"/>
  <c r="I112" i="1" s="1"/>
  <c r="J111" i="1"/>
  <c r="F121" i="1"/>
  <c r="F136" i="1"/>
  <c r="G121" i="1"/>
  <c r="G136" i="1"/>
  <c r="H121" i="1"/>
  <c r="H140" i="1" s="1"/>
  <c r="H136" i="1"/>
  <c r="I121" i="1"/>
  <c r="I136" i="1"/>
  <c r="J121" i="1"/>
  <c r="J140" i="1" s="1"/>
  <c r="J136" i="1"/>
  <c r="F147" i="1"/>
  <c r="F162" i="1"/>
  <c r="G147" i="1"/>
  <c r="D85" i="2" s="1"/>
  <c r="D91" i="2" s="1"/>
  <c r="G162" i="1"/>
  <c r="H147" i="1"/>
  <c r="H162" i="1"/>
  <c r="I147" i="1"/>
  <c r="I169" i="1" s="1"/>
  <c r="I162" i="1"/>
  <c r="C21" i="10"/>
  <c r="L250" i="1"/>
  <c r="L332" i="1"/>
  <c r="L254" i="1"/>
  <c r="C25" i="10"/>
  <c r="L268" i="1"/>
  <c r="L269" i="1"/>
  <c r="L349" i="1"/>
  <c r="L350" i="1"/>
  <c r="E143" i="2" s="1"/>
  <c r="I665" i="1"/>
  <c r="I670" i="1"/>
  <c r="F662" i="1"/>
  <c r="G662" i="1"/>
  <c r="I662" i="1" s="1"/>
  <c r="H662" i="1"/>
  <c r="I669" i="1"/>
  <c r="C42" i="10"/>
  <c r="C32" i="10"/>
  <c r="L374" i="1"/>
  <c r="L375" i="1"/>
  <c r="L376" i="1"/>
  <c r="L377" i="1"/>
  <c r="F130" i="2" s="1"/>
  <c r="L378" i="1"/>
  <c r="L379" i="1"/>
  <c r="L380" i="1"/>
  <c r="B2" i="10"/>
  <c r="L344" i="1"/>
  <c r="L345" i="1"/>
  <c r="L346" i="1"/>
  <c r="E137" i="2" s="1"/>
  <c r="L347" i="1"/>
  <c r="K351" i="1"/>
  <c r="L521" i="1"/>
  <c r="F549" i="1" s="1"/>
  <c r="L522" i="1"/>
  <c r="F550" i="1" s="1"/>
  <c r="F552" i="1" s="1"/>
  <c r="L523" i="1"/>
  <c r="F551" i="1" s="1"/>
  <c r="K551" i="1" s="1"/>
  <c r="L526" i="1"/>
  <c r="G549" i="1" s="1"/>
  <c r="L527" i="1"/>
  <c r="G550" i="1" s="1"/>
  <c r="L528" i="1"/>
  <c r="G551" i="1" s="1"/>
  <c r="L531" i="1"/>
  <c r="H549" i="1" s="1"/>
  <c r="K549" i="1" s="1"/>
  <c r="L532" i="1"/>
  <c r="H550" i="1" s="1"/>
  <c r="L533" i="1"/>
  <c r="H551" i="1" s="1"/>
  <c r="L536" i="1"/>
  <c r="I549" i="1" s="1"/>
  <c r="I552" i="1" s="1"/>
  <c r="L537" i="1"/>
  <c r="I550" i="1" s="1"/>
  <c r="K550" i="1" s="1"/>
  <c r="L538" i="1"/>
  <c r="I551" i="1" s="1"/>
  <c r="L541" i="1"/>
  <c r="J549" i="1" s="1"/>
  <c r="L542" i="1"/>
  <c r="J550" i="1" s="1"/>
  <c r="L543" i="1"/>
  <c r="J551" i="1" s="1"/>
  <c r="J552" i="1" s="1"/>
  <c r="E132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F18" i="2" s="1"/>
  <c r="I439" i="1"/>
  <c r="J9" i="1" s="1"/>
  <c r="G8" i="2" s="1"/>
  <c r="C9" i="2"/>
  <c r="D9" i="2"/>
  <c r="D18" i="2" s="1"/>
  <c r="E9" i="2"/>
  <c r="F9" i="2"/>
  <c r="I440" i="1"/>
  <c r="J10" i="1" s="1"/>
  <c r="G9" i="2" s="1"/>
  <c r="C10" i="2"/>
  <c r="C11" i="2"/>
  <c r="C18" i="2" s="1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D31" i="2" s="1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C56" i="2"/>
  <c r="D56" i="2"/>
  <c r="E56" i="2"/>
  <c r="F56" i="2"/>
  <c r="E57" i="2"/>
  <c r="C59" i="2"/>
  <c r="D59" i="2"/>
  <c r="D62" i="2" s="1"/>
  <c r="D63" i="2" s="1"/>
  <c r="E59" i="2"/>
  <c r="F59" i="2"/>
  <c r="D60" i="2"/>
  <c r="C61" i="2"/>
  <c r="D61" i="2"/>
  <c r="F61" i="2"/>
  <c r="C66" i="2"/>
  <c r="C70" i="2" s="1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E85" i="2"/>
  <c r="F85" i="2"/>
  <c r="C87" i="2"/>
  <c r="E87" i="2"/>
  <c r="F87" i="2"/>
  <c r="C88" i="2"/>
  <c r="C91" i="2" s="1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E115" i="2" s="1"/>
  <c r="C110" i="2"/>
  <c r="E111" i="2"/>
  <c r="E112" i="2"/>
  <c r="C113" i="2"/>
  <c r="E113" i="2"/>
  <c r="E114" i="2"/>
  <c r="D115" i="2"/>
  <c r="F115" i="2"/>
  <c r="G115" i="2"/>
  <c r="C118" i="2"/>
  <c r="E120" i="2"/>
  <c r="E121" i="2"/>
  <c r="E122" i="2"/>
  <c r="C123" i="2"/>
  <c r="E124" i="2"/>
  <c r="C125" i="2"/>
  <c r="E125" i="2"/>
  <c r="F128" i="2"/>
  <c r="G128" i="2"/>
  <c r="C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G619" i="1" s="1"/>
  <c r="I19" i="1"/>
  <c r="G620" i="1" s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J247" i="1"/>
  <c r="K247" i="1"/>
  <c r="F256" i="1"/>
  <c r="G256" i="1"/>
  <c r="H256" i="1"/>
  <c r="L256" i="1" s="1"/>
  <c r="I256" i="1"/>
  <c r="J256" i="1"/>
  <c r="K256" i="1"/>
  <c r="F290" i="1"/>
  <c r="F338" i="1" s="1"/>
  <c r="F352" i="1" s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3" i="1" s="1"/>
  <c r="L432" i="1"/>
  <c r="F433" i="1"/>
  <c r="G433" i="1"/>
  <c r="H433" i="1"/>
  <c r="I433" i="1"/>
  <c r="J433" i="1"/>
  <c r="F446" i="1"/>
  <c r="G639" i="1" s="1"/>
  <c r="G446" i="1"/>
  <c r="G640" i="1" s="1"/>
  <c r="H446" i="1"/>
  <c r="F452" i="1"/>
  <c r="G452" i="1"/>
  <c r="H452" i="1"/>
  <c r="F460" i="1"/>
  <c r="G460" i="1"/>
  <c r="H460" i="1"/>
  <c r="F461" i="1"/>
  <c r="H639" i="1" s="1"/>
  <c r="G461" i="1"/>
  <c r="H640" i="1" s="1"/>
  <c r="H461" i="1"/>
  <c r="F470" i="1"/>
  <c r="F476" i="1" s="1"/>
  <c r="H622" i="1" s="1"/>
  <c r="G470" i="1"/>
  <c r="G476" i="1" s="1"/>
  <c r="H623" i="1" s="1"/>
  <c r="J623" i="1" s="1"/>
  <c r="H470" i="1"/>
  <c r="I470" i="1"/>
  <c r="J470" i="1"/>
  <c r="F474" i="1"/>
  <c r="G474" i="1"/>
  <c r="H474" i="1"/>
  <c r="I474" i="1"/>
  <c r="I476" i="1" s="1"/>
  <c r="H625" i="1" s="1"/>
  <c r="J474" i="1"/>
  <c r="J476" i="1" s="1"/>
  <c r="H626" i="1" s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H545" i="1" s="1"/>
  <c r="I524" i="1"/>
  <c r="J524" i="1"/>
  <c r="K524" i="1"/>
  <c r="K545" i="1" s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J545" i="1" s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44" i="1"/>
  <c r="L557" i="1"/>
  <c r="L558" i="1"/>
  <c r="L559" i="1"/>
  <c r="L560" i="1" s="1"/>
  <c r="F560" i="1"/>
  <c r="F571" i="1" s="1"/>
  <c r="G560" i="1"/>
  <c r="H560" i="1"/>
  <c r="I560" i="1"/>
  <c r="J560" i="1"/>
  <c r="J571" i="1" s="1"/>
  <c r="K560" i="1"/>
  <c r="L562" i="1"/>
  <c r="L563" i="1"/>
  <c r="L564" i="1"/>
  <c r="L565" i="1" s="1"/>
  <c r="F565" i="1"/>
  <c r="G565" i="1"/>
  <c r="H565" i="1"/>
  <c r="H571" i="1" s="1"/>
  <c r="I565" i="1"/>
  <c r="I571" i="1" s="1"/>
  <c r="J565" i="1"/>
  <c r="K565" i="1"/>
  <c r="L567" i="1"/>
  <c r="L570" i="1" s="1"/>
  <c r="L568" i="1"/>
  <c r="L569" i="1"/>
  <c r="F570" i="1"/>
  <c r="G570" i="1"/>
  <c r="H570" i="1"/>
  <c r="I570" i="1"/>
  <c r="J570" i="1"/>
  <c r="K570" i="1"/>
  <c r="K571" i="1" s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8" i="1" s="1"/>
  <c r="G647" i="1" s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7" i="1"/>
  <c r="G618" i="1"/>
  <c r="G622" i="1"/>
  <c r="G623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41" i="1"/>
  <c r="J641" i="1" s="1"/>
  <c r="H641" i="1"/>
  <c r="G643" i="1"/>
  <c r="J643" i="1" s="1"/>
  <c r="H643" i="1"/>
  <c r="G644" i="1"/>
  <c r="H644" i="1"/>
  <c r="G645" i="1"/>
  <c r="J645" i="1" s="1"/>
  <c r="H645" i="1"/>
  <c r="G651" i="1"/>
  <c r="J651" i="1" s="1"/>
  <c r="G652" i="1"/>
  <c r="H652" i="1"/>
  <c r="G653" i="1"/>
  <c r="H653" i="1"/>
  <c r="G654" i="1"/>
  <c r="H654" i="1"/>
  <c r="H655" i="1"/>
  <c r="F192" i="1"/>
  <c r="C26" i="10"/>
  <c r="L290" i="1"/>
  <c r="D12" i="13"/>
  <c r="C12" i="13" s="1"/>
  <c r="D7" i="13"/>
  <c r="C7" i="13" s="1"/>
  <c r="E8" i="13"/>
  <c r="C8" i="13" s="1"/>
  <c r="C78" i="2"/>
  <c r="G161" i="2"/>
  <c r="D19" i="13"/>
  <c r="C19" i="13" s="1"/>
  <c r="E78" i="2"/>
  <c r="L427" i="1"/>
  <c r="K605" i="1"/>
  <c r="G648" i="1" s="1"/>
  <c r="L419" i="1"/>
  <c r="H169" i="1"/>
  <c r="G552" i="1"/>
  <c r="J644" i="1"/>
  <c r="H476" i="1"/>
  <c r="H624" i="1" s="1"/>
  <c r="G338" i="1"/>
  <c r="G352" i="1" s="1"/>
  <c r="F169" i="1"/>
  <c r="H257" i="1"/>
  <c r="H271" i="1" s="1"/>
  <c r="G22" i="2"/>
  <c r="H552" i="1"/>
  <c r="L393" i="1"/>
  <c r="C138" i="2" s="1"/>
  <c r="J634" i="1"/>
  <c r="H338" i="1"/>
  <c r="H352" i="1" s="1"/>
  <c r="H192" i="1"/>
  <c r="J655" i="1"/>
  <c r="I545" i="1"/>
  <c r="G545" i="1"/>
  <c r="J617" i="1" l="1"/>
  <c r="J622" i="1"/>
  <c r="F112" i="1"/>
  <c r="J647" i="1"/>
  <c r="J639" i="1"/>
  <c r="J640" i="1"/>
  <c r="H25" i="13"/>
  <c r="C25" i="13" s="1"/>
  <c r="E81" i="2"/>
  <c r="D15" i="13"/>
  <c r="C15" i="13" s="1"/>
  <c r="C114" i="2"/>
  <c r="C112" i="2"/>
  <c r="L270" i="1"/>
  <c r="C35" i="10"/>
  <c r="F22" i="13"/>
  <c r="C22" i="13" s="1"/>
  <c r="L351" i="1"/>
  <c r="G649" i="1"/>
  <c r="J649" i="1" s="1"/>
  <c r="G624" i="1"/>
  <c r="J624" i="1" s="1"/>
  <c r="L534" i="1"/>
  <c r="K500" i="1"/>
  <c r="I460" i="1"/>
  <c r="I452" i="1"/>
  <c r="I461" i="1" s="1"/>
  <c r="H642" i="1" s="1"/>
  <c r="J642" i="1" s="1"/>
  <c r="I446" i="1"/>
  <c r="G642" i="1" s="1"/>
  <c r="E130" i="2"/>
  <c r="C124" i="2"/>
  <c r="J112" i="1"/>
  <c r="J193" i="1" s="1"/>
  <c r="G646" i="1" s="1"/>
  <c r="G112" i="1"/>
  <c r="C81" i="2"/>
  <c r="D145" i="2"/>
  <c r="C17" i="10"/>
  <c r="G625" i="1"/>
  <c r="J625" i="1" s="1"/>
  <c r="L614" i="1"/>
  <c r="C120" i="2"/>
  <c r="L539" i="1"/>
  <c r="L545" i="1" s="1"/>
  <c r="K503" i="1"/>
  <c r="L382" i="1"/>
  <c r="G636" i="1" s="1"/>
  <c r="J636" i="1" s="1"/>
  <c r="C19" i="12"/>
  <c r="C21" i="12"/>
  <c r="C20" i="12"/>
  <c r="C11" i="12"/>
  <c r="C10" i="12"/>
  <c r="C12" i="12"/>
  <c r="C30" i="12"/>
  <c r="C29" i="12"/>
  <c r="C28" i="12"/>
  <c r="C31" i="12" s="1"/>
  <c r="A31" i="12" s="1"/>
  <c r="K552" i="1"/>
  <c r="C11" i="10"/>
  <c r="K338" i="1"/>
  <c r="K352" i="1" s="1"/>
  <c r="C15" i="10"/>
  <c r="D5" i="13"/>
  <c r="C5" i="13" s="1"/>
  <c r="K257" i="1"/>
  <c r="K271" i="1" s="1"/>
  <c r="C16" i="10"/>
  <c r="C119" i="2"/>
  <c r="L362" i="1"/>
  <c r="G635" i="1" s="1"/>
  <c r="J635" i="1" s="1"/>
  <c r="F661" i="1"/>
  <c r="G661" i="1"/>
  <c r="H661" i="1"/>
  <c r="H33" i="13"/>
  <c r="C18" i="10"/>
  <c r="C111" i="2"/>
  <c r="C115" i="2" s="1"/>
  <c r="L229" i="1"/>
  <c r="J257" i="1"/>
  <c r="J271" i="1" s="1"/>
  <c r="G257" i="1"/>
  <c r="G271" i="1" s="1"/>
  <c r="C10" i="10"/>
  <c r="L211" i="1"/>
  <c r="F660" i="1" s="1"/>
  <c r="C62" i="2"/>
  <c r="C63" i="2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F104" i="2" s="1"/>
  <c r="E50" i="2"/>
  <c r="E51" i="2" s="1"/>
  <c r="C50" i="2"/>
  <c r="F31" i="2"/>
  <c r="C31" i="2"/>
  <c r="E18" i="2"/>
  <c r="E144" i="2"/>
  <c r="F50" i="2"/>
  <c r="F51" i="2" s="1"/>
  <c r="E145" i="2"/>
  <c r="L338" i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G169" i="1"/>
  <c r="C39" i="10" s="1"/>
  <c r="G140" i="1"/>
  <c r="F140" i="1"/>
  <c r="G63" i="2"/>
  <c r="J618" i="1"/>
  <c r="G42" i="2"/>
  <c r="J51" i="1"/>
  <c r="G16" i="2"/>
  <c r="G18" i="2" s="1"/>
  <c r="J19" i="1"/>
  <c r="G621" i="1" s="1"/>
  <c r="F545" i="1"/>
  <c r="H434" i="1"/>
  <c r="J620" i="1"/>
  <c r="J619" i="1"/>
  <c r="D103" i="2"/>
  <c r="D104" i="2" s="1"/>
  <c r="I140" i="1"/>
  <c r="I193" i="1" s="1"/>
  <c r="G630" i="1" s="1"/>
  <c r="J630" i="1" s="1"/>
  <c r="H646" i="1"/>
  <c r="G50" i="2"/>
  <c r="G51" i="2" s="1"/>
  <c r="H648" i="1"/>
  <c r="J648" i="1" s="1"/>
  <c r="J652" i="1"/>
  <c r="G571" i="1"/>
  <c r="I434" i="1"/>
  <c r="G434" i="1"/>
  <c r="I663" i="1"/>
  <c r="F193" i="1" l="1"/>
  <c r="G627" i="1" s="1"/>
  <c r="J627" i="1" s="1"/>
  <c r="C27" i="10"/>
  <c r="C13" i="12"/>
  <c r="A13" i="12" s="1"/>
  <c r="D31" i="13"/>
  <c r="C31" i="13" s="1"/>
  <c r="L352" i="1"/>
  <c r="G633" i="1" s="1"/>
  <c r="J633" i="1" s="1"/>
  <c r="C104" i="2"/>
  <c r="C22" i="12"/>
  <c r="A22" i="12" s="1"/>
  <c r="I661" i="1"/>
  <c r="G660" i="1"/>
  <c r="G664" i="1" s="1"/>
  <c r="F664" i="1"/>
  <c r="F667" i="1" s="1"/>
  <c r="G104" i="2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D33" i="13" l="1"/>
  <c r="D36" i="13" s="1"/>
  <c r="F672" i="1"/>
  <c r="C4" i="10" s="1"/>
  <c r="G672" i="1"/>
  <c r="C5" i="10" s="1"/>
  <c r="G667" i="1"/>
  <c r="I247" i="1" l="1"/>
  <c r="I257" i="1" s="1"/>
  <c r="I271" i="1" s="1"/>
  <c r="L242" i="1"/>
  <c r="C19" i="10" s="1"/>
  <c r="L247" i="1" l="1"/>
  <c r="H660" i="1" s="1"/>
  <c r="H664" i="1" s="1"/>
  <c r="E13" i="13"/>
  <c r="E33" i="13" s="1"/>
  <c r="D35" i="13" s="1"/>
  <c r="I660" i="1"/>
  <c r="I664" i="1" s="1"/>
  <c r="C28" i="10"/>
  <c r="C122" i="2"/>
  <c r="C128" i="2" s="1"/>
  <c r="C145" i="2" s="1"/>
  <c r="C13" i="13"/>
  <c r="L257" i="1" l="1"/>
  <c r="L271" i="1" s="1"/>
  <c r="G632" i="1" s="1"/>
  <c r="J632" i="1" s="1"/>
  <c r="D13" i="10"/>
  <c r="D23" i="10"/>
  <c r="C30" i="10"/>
  <c r="D10" i="10"/>
  <c r="D18" i="10"/>
  <c r="D22" i="10"/>
  <c r="D11" i="10"/>
  <c r="D24" i="10"/>
  <c r="D27" i="10"/>
  <c r="D20" i="10"/>
  <c r="D16" i="10"/>
  <c r="D26" i="10"/>
  <c r="D12" i="10"/>
  <c r="D25" i="10"/>
  <c r="D21" i="10"/>
  <c r="D17" i="10"/>
  <c r="D15" i="10"/>
  <c r="H672" i="1"/>
  <c r="C6" i="10" s="1"/>
  <c r="H667" i="1"/>
  <c r="I672" i="1"/>
  <c r="C7" i="10" s="1"/>
  <c r="I667" i="1"/>
  <c r="D19" i="10"/>
  <c r="D28" i="10" l="1"/>
  <c r="E61" i="2"/>
  <c r="E62" i="2" s="1"/>
  <c r="E63" i="2" s="1"/>
  <c r="E104" i="2" s="1"/>
  <c r="H111" i="1"/>
  <c r="H112" i="1" s="1"/>
  <c r="C36" i="10" s="1"/>
  <c r="C41" i="10" l="1"/>
  <c r="H193" i="1"/>
  <c r="G629" i="1" s="1"/>
  <c r="D38" i="10" l="1"/>
  <c r="D37" i="10"/>
  <c r="D35" i="10"/>
  <c r="D39" i="10"/>
  <c r="D40" i="10"/>
  <c r="J629" i="1"/>
  <c r="H656" i="1"/>
  <c r="D36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<sst xmlns="http://schemas.openxmlformats.org/spreadsheetml/2006/main" count="3957" uniqueCount="915">
  <si>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</si>
  <si>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</si>
  <si>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</si>
  <si>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</si>
  <si>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</si>
  <si>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</si>
  <si>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</si>
  <si>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</si>
  <si>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</si>
  <si>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</si>
  <si>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</si>
  <si>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</si>
  <si>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</si>
  <si>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</si>
  <si>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</si>
  <si>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</si>
  <si>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</si>
  <si>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</si>
  <si>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</si>
  <si>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</si>
  <si>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</si>
  <si>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</si>
  <si>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</si>
  <si>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</si>
  <si>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</si>
  <si>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</si>
  <si>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</si>
  <si>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</si>
  <si>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</si>
  <si>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</si>
  <si>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</si>
  <si>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</si>
  <si>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</si>
  <si>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</si>
  <si>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</si>
  <si>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</si>
  <si>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</si>
  <si>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</si>
  <si>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</si>
  <si>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</si>
  <si>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</si>
  <si>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</si>
  <si>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</si>
  <si>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</si>
  <si>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</si>
  <si>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</si>
  <si>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</si>
  <si>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</si>
  <si>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</si>
  <si>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</si>
  <si>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</si>
  <si>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</si>
  <si>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</si>
  <si>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</si>
  <si>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</si>
  <si>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</si>
  <si>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</si>
  <si>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</si>
  <si>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</si>
  <si>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</si>
  <si>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</si>
  <si>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</si>
  <si>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</si>
  <si>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</si>
  <si>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</si>
  <si>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</si>
  <si>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</si>
  <si>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</si>
  <si>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</si>
  <si>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</si>
  <si>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</si>
  <si>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</si>
  <si>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</si>
  <si>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</si>
  <si>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</si>
  <si>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</si>
  <si>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</si>
  <si>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</si>
  <si>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</si>
  <si>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</si>
  <si>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</si>
  <si>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</si>
  <si>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</si>
  <si>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</si>
  <si>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</si>
  <si>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</si>
  <si>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</si>
  <si>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</si>
  <si>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</si>
  <si>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</si>
  <si>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</si>
  <si>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</si>
  <si>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</si>
  <si>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</si>
  <si>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</si>
  <si>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</si>
  <si>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</si>
  <si>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</si>
  <si>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</si>
  <si>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</si>
  <si>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</si>
  <si>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</si>
  <si>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</si>
  <si>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</si>
  <si>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</si>
  <si>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</si>
  <si>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</si>
  <si>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</si>
  <si>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</si>
  <si>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</si>
  <si>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</si>
  <si>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</si>
  <si>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</si>
  <si>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</si>
  <si>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</si>
  <si>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</si>
  <si>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</si>
  <si>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</si>
  <si>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</si>
  <si>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</si>
  <si>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</si>
  <si>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</si>
  <si>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</si>
  <si>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</si>
  <si>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</si>
  <si>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</si>
  <si>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</si>
  <si>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</si>
  <si>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</si>
  <si>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</si>
  <si>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</si>
  <si>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</si>
  <si>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</si>
  <si>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</si>
  <si>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</si>
  <si>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</si>
  <si>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</si>
  <si>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</si>
  <si>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</si>
  <si>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</si>
  <si>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</si>
  <si>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</si>
  <si>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</si>
  <si>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</si>
  <si>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</si>
  <si>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</si>
  <si>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</si>
  <si>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</si>
  <si>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</si>
  <si>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</si>
  <si>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</si>
  <si>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</si>
  <si>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</si>
  <si>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</si>
  <si>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</si>
  <si>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</si>
  <si>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</si>
  <si>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</si>
  <si>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</si>
  <si>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</si>
  <si>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</si>
  <si>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</si>
  <si>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</si>
  <si>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</si>
  <si>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</si>
  <si>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</si>
  <si>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</si>
  <si>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</si>
  <si>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</si>
  <si>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</si>
  <si>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</si>
  <si>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</si>
  <si>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</si>
  <si>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</si>
  <si>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</si>
  <si>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</si>
  <si>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</si>
  <si>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</si>
  <si>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</si>
  <si>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</si>
  <si>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</si>
  <si>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</si>
  <si>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</si>
  <si>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</si>
  <si>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</si>
  <si>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</si>
  <si>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</si>
  <si>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</si>
  <si>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</si>
  <si>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</si>
  <si>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</si>
  <si>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</si>
  <si>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</si>
  <si>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</si>
  <si>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</si>
  <si>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</si>
  <si>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</si>
  <si>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</si>
  <si>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</si>
  <si>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</si>
  <si>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</si>
  <si>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</si>
  <si>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</si>
  <si>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</si>
  <si>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</si>
  <si>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</si>
  <si>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</si>
  <si>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</si>
  <si>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</si>
  <si>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</si>
  <si>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</si>
  <si>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</si>
  <si>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</si>
  <si>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</si>
  <si>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</si>
  <si>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</si>
  <si>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</si>
  <si>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</si>
  <si>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</si>
  <si>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</si>
  <si>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</si>
  <si>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</si>
  <si>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</si>
  <si>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</si>
  <si>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</si>
  <si>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</si>
  <si>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</si>
  <si>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</si>
  <si>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</si>
  <si>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</si>
  <si>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</si>
  <si>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</si>
  <si>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</si>
  <si>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</si>
  <si>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</si>
  <si>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</si>
  <si>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</si>
  <si>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</si>
  <si>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</si>
  <si>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</si>
  <si>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</si>
  <si>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</si>
  <si>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</si>
  <si>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</si>
  <si>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</si>
  <si>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</si>
  <si>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</si>
  <si>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</si>
  <si>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</si>
  <si>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</si>
  <si>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</si>
  <si>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</si>
  <si>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</si>
  <si>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</si>
  <si>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</si>
  <si>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</si>
  <si>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</si>
  <si>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</si>
  <si>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</si>
  <si>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</si>
  <si>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</si>
  <si>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</si>
  <si>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</si>
  <si>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</si>
  <si>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</si>
  <si>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</si>
  <si>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</si>
  <si>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</si>
  <si>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</si>
  <si>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</si>
  <si>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</si>
  <si>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</si>
  <si>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</si>
  <si>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</si>
  <si>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</si>
  <si>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</si>
  <si>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</si>
  <si>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</si>
  <si>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</si>
  <si>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</si>
  <si>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</si>
  <si>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</si>
  <si>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</si>
  <si>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</si>
  <si>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</si>
  <si>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</si>
  <si>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</si>
  <si>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</si>
  <si>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</si>
  <si>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</si>
  <si>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</si>
  <si>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</si>
  <si>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</si>
  <si>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</si>
  <si>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</si>
  <si>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</si>
  <si>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</si>
  <si>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</si>
  <si>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</si>
  <si>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</si>
  <si>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</si>
  <si>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</si>
  <si>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</si>
  <si>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</si>
  <si>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</si>
  <si>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</si>
  <si>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</si>
  <si>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</si>
  <si>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</si>
  <si>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</si>
  <si>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</si>
  <si>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</si>
  <si>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</si>
  <si>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</si>
  <si>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</si>
  <si>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</si>
  <si>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</si>
  <si>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</si>
  <si>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</si>
  <si>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</si>
  <si>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</si>
  <si>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</si>
  <si>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</si>
  <si>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</si>
  <si>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</si>
  <si>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</si>
  <si>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</si>
  <si>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</si>
  <si>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</si>
  <si>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</si>
  <si>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</si>
  <si>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</si>
  <si>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</si>
  <si>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</si>
  <si>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</si>
  <si>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</si>
  <si>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</si>
  <si>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</si>
  <si>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</si>
  <si>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</si>
  <si>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</si>
  <si>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</si>
  <si>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</si>
  <si>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</si>
  <si>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</si>
  <si>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</si>
  <si>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</si>
  <si>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</si>
  <si>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</si>
  <si>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</si>
  <si>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</si>
  <si>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</si>
  <si>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</si>
  <si>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</si>
  <si>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</si>
  <si>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</si>
  <si>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</si>
  <si>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</si>
  <si>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</si>
  <si>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</si>
  <si>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</si>
  <si>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</si>
  <si>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</si>
  <si>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</si>
  <si>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</si>
  <si>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</si>
  <si>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</si>
  <si>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</si>
  <si>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</si>
  <si>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</si>
  <si>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</si>
  <si>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</si>
  <si>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</si>
  <si>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</si>
  <si>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</si>
  <si>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</si>
  <si>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</si>
  <si>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</si>
  <si>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</si>
  <si>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</si>
  <si>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</si>
  <si>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</si>
  <si>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</si>
  <si>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</si>
  <si>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</si>
  <si>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</si>
  <si>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</si>
  <si>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</si>
  <si>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</si>
  <si>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</si>
  <si>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</si>
  <si>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</si>
  <si>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</si>
  <si>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</si>
  <si>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</si>
  <si>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</si>
  <si>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</si>
  <si>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</si>
  <si>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</si>
  <si>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</si>
  <si>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</si>
  <si>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</si>
  <si>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</si>
  <si>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</si>
  <si>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</si>
  <si>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</si>
  <si>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</si>
  <si>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</si>
  <si>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</si>
  <si>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</si>
  <si>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</si>
  <si>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</si>
  <si>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</si>
  <si>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</si>
  <si>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</si>
  <si>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</si>
  <si>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</si>
  <si>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</si>
  <si>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</si>
  <si>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</si>
  <si>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</si>
  <si>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</si>
  <si>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</si>
  <si>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</si>
  <si>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</si>
  <si>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</si>
  <si>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</si>
  <si>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</si>
  <si>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</si>
  <si>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</si>
  <si>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</si>
  <si>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</si>
  <si>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</si>
  <si>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</si>
  <si>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</si>
  <si>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</si>
  <si>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</si>
  <si>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</si>
  <si>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</si>
  <si>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</si>
  <si>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</si>
  <si>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</si>
  <si>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</si>
  <si>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</si>
  <si>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</si>
  <si>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</si>
  <si>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</si>
  <si>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</si>
  <si>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</si>
  <si>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</si>
  <si>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</si>
  <si>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</si>
  <si>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</si>
  <si>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</si>
  <si>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</si>
  <si>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</si>
  <si>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</si>
  <si>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</si>
  <si>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</si>
  <si>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</si>
  <si>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</si>
  <si>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</si>
  <si>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</si>
  <si>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</si>
  <si>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</si>
  <si>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</si>
  <si>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</si>
  <si>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</si>
  <si>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</si>
  <si>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</si>
  <si>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</si>
  <si>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</si>
  <si>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</si>
  <si>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</si>
  <si>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</si>
  <si>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</si>
  <si>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</si>
  <si>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</si>
  <si>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</si>
  <si>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</si>
  <si>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</si>
  <si>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</si>
  <si>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</si>
  <si>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</si>
  <si>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</si>
  <si>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</si>
  <si>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</si>
  <si>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</si>
  <si>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</si>
  <si>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</si>
  <si>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</si>
  <si>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</si>
  <si>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</si>
  <si>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</si>
  <si>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</si>
  <si>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</si>
  <si>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</si>
  <si>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</si>
  <si>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</si>
  <si>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</si>
  <si>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</si>
  <si>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</si>
  <si>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</si>
  <si>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</si>
  <si>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</si>
  <si>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</si>
  <si>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</si>
  <si>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</si>
  <si>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</si>
  <si>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</si>
  <si>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</si>
  <si>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</si>
  <si>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</si>
  <si>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</si>
  <si>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</si>
  <si>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</si>
  <si>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</si>
  <si>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</si>
  <si>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</si>
  <si>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</si>
  <si>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</si>
  <si>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</si>
  <si>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</si>
  <si>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</si>
  <si>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</si>
  <si>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</si>
  <si>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</si>
  <si>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</si>
  <si>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</si>
  <si>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</si>
  <si>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</si>
  <si>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</si>
  <si>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</si>
  <si>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</si>
  <si>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</si>
  <si>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</si>
  <si>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</si>
  <si>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</si>
  <si>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</si>
  <si>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</si>
  <si>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</si>
  <si>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</si>
  <si>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</si>
  <si>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</si>
  <si>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</si>
  <si>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</si>
  <si>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</si>
  <si>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</si>
  <si>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</si>
  <si>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</si>
  <si>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</si>
  <si>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</si>
  <si>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</si>
  <si>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</si>
  <si>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</si>
  <si>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</si>
  <si>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</si>
  <si>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</si>
  <si>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</si>
  <si>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</si>
  <si>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</si>
  <si>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</si>
  <si>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</si>
  <si>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</si>
  <si>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</si>
  <si>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</si>
  <si>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</si>
  <si>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</si>
  <si>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</si>
  <si>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</si>
  <si>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</si>
  <si>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</si>
  <si>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</si>
  <si>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</si>
  <si>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</si>
  <si>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</si>
  <si>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</si>
  <si>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</si>
  <si>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</si>
  <si>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</si>
  <si>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</si>
  <si>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</si>
  <si>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</si>
  <si>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</si>
  <si>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</si>
  <si>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</si>
  <si>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</si>
  <si>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</si>
  <si>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</si>
  <si>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</si>
  <si>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</si>
  <si>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</si>
  <si>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</si>
  <si>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</si>
  <si>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</si>
  <si>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</si>
  <si>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</si>
  <si>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</si>
  <si>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</si>
  <si>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</si>
  <si>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</si>
  <si>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</si>
  <si>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</si>
  <si>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</si>
  <si>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</si>
  <si>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</si>
  <si>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</si>
  <si>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</si>
  <si>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</si>
  <si>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</si>
  <si>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</si>
  <si>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</si>
  <si>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</si>
  <si>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</si>
  <si>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</si>
  <si>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</si>
  <si>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</si>
  <si>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</si>
  <si>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</si>
  <si>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</si>
  <si>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</si>
  <si>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</si>
  <si>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</si>
  <si>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</si>
  <si>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</si>
  <si>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</si>
  <si>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</si>
  <si>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</si>
  <si>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</si>
  <si>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</si>
  <si>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</si>
  <si>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</si>
  <si>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</si>
  <si>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</si>
  <si>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</si>
  <si>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</si>
  <si>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</si>
  <si>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</si>
  <si>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</si>
  <si>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</si>
  <si>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</si>
  <si>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</si>
  <si>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</si>
  <si>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</si>
  <si>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</si>
  <si>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</si>
  <si>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</si>
  <si>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</si>
  <si>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</si>
  <si>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</si>
  <si>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</si>
  <si>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</si>
  <si>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</si>
  <si>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</si>
  <si>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</si>
  <si>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</si>
  <si>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</si>
  <si>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</si>
  <si>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</si>
  <si>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</si>
  <si>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</si>
  <si>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</si>
  <si>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</si>
  <si>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</si>
  <si>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</si>
  <si>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</si>
  <si>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</si>
  <si>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</si>
  <si>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</si>
  <si>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</si>
  <si>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</si>
  <si>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</si>
  <si>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</si>
  <si>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</si>
  <si>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</si>
  <si>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</si>
  <si>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</si>
  <si>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</si>
  <si>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</si>
  <si>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</si>
  <si>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</si>
  <si>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</si>
  <si>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</si>
  <si>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</si>
  <si>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</si>
  <si>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</si>
  <si>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</si>
  <si>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</si>
  <si>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</si>
  <si>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</si>
  <si>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</si>
  <si>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</si>
  <si>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</si>
  <si>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</si>
  <si>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</si>
  <si>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</si>
  <si>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</si>
  <si>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</si>
  <si>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</si>
  <si>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</si>
  <si>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</si>
  <si>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</si>
  <si>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</si>
  <si>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</si>
  <si>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</si>
  <si>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</si>
  <si>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</si>
  <si>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</si>
  <si>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</si>
  <si>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</si>
  <si>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</si>
  <si>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</si>
  <si>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</si>
  <si>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</si>
  <si>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</si>
  <si>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</si>
  <si>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</si>
  <si>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</si>
  <si>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</si>
  <si>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</si>
  <si>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</si>
  <si>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</si>
  <si>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</si>
  <si>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</si>
  <si>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</si>
  <si>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</si>
  <si>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</si>
  <si>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</si>
  <si>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</si>
  <si>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</si>
  <si>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</si>
  <si>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</si>
  <si>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</si>
  <si>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</si>
  <si>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</si>
  <si>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</si>
  <si>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</si>
  <si>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</si>
  <si>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</si>
  <si>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</si>
  <si>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</si>
  <si>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</si>
  <si>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</si>
  <si>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</si>
  <si>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</si>
  <si>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</si>
  <si>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</si>
  <si>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</si>
  <si>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</si>
  <si>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</si>
  <si>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</si>
  <si>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</si>
  <si>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</si>
  <si>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</si>
  <si>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</si>
  <si>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</si>
  <si>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</si>
  <si>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</si>
  <si>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</si>
  <si>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</si>
  <si>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</si>
  <si>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</si>
  <si>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</si>
  <si>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</si>
  <si>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</si>
  <si>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</si>
  <si>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</si>
  <si>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</si>
  <si>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</si>
  <si>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</si>
  <si>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</si>
  <si>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</si>
  <si>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</si>
  <si>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</si>
  <si>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</si>
  <si>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</si>
  <si>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</si>
  <si>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</si>
  <si>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</si>
  <si>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</si>
  <si>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</si>
  <si>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</si>
  <si>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</si>
  <si>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</si>
  <si>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</si>
  <si>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</si>
  <si>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</si>
  <si>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</si>
  <si>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</si>
  <si>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</si>
  <si>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</si>
  <si>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</si>
  <si>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</si>
  <si>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</si>
  <si>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</si>
  <si>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</si>
  <si>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</si>
  <si>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</si>
  <si>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</si>
  <si>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</si>
  <si>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</si>
  <si>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</si>
  <si>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</si>
  <si>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</si>
  <si>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</si>
  <si>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</si>
  <si>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</si>
  <si>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</si>
  <si>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</si>
  <si>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</si>
  <si>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</si>
  <si>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</si>
  <si>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</si>
  <si>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</si>
  <si>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</si>
  <si>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</si>
  <si>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</si>
  <si>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</si>
  <si>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</si>
  <si>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</si>
  <si>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</si>
  <si>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</si>
  <si>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</si>
  <si>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</si>
  <si>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</si>
  <si>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</si>
  <si>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</si>
  <si>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</si>
  <si>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</si>
  <si>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</si>
  <si>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</si>
  <si>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</si>
  <si>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</si>
  <si>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</si>
  <si>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</si>
  <si>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</si>
  <si>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</si>
  <si>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</si>
  <si>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</si>
  <si>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</si>
  <si>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</si>
  <si>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</si>
  <si>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</si>
  <si>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</si>
  <si>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</si>
  <si>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</si>
  <si>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</si>
  <si>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</si>
  <si>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</si>
  <si>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</si>
  <si>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</si>
  <si>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</si>
  <si>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</si>
  <si>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</si>
  <si>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</si>
  <si>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</si>
  <si>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</si>
  <si>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</si>
  <si>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</si>
  <si>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</si>
  <si>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</si>
  <si>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</si>
  <si>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</si>
  <si>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</si>
  <si>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</si>
  <si>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</si>
  <si>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</si>
  <si>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</si>
  <si>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</si>
  <si>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</si>
  <si>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</si>
  <si>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</si>
  <si>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</si>
  <si>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</si>
  <si>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</si>
  <si>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</si>
  <si>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</si>
  <si>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</si>
  <si>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</si>
  <si>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</si>
  <si>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</si>
  <si>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</si>
  <si>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</si>
  <si>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</si>
  <si>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</si>
  <si>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</si>
  <si>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</si>
  <si>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</si>
  <si>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</si>
  <si>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</si>
  <si>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</si>
  <si>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</si>
  <si>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</si>
  <si>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</si>
  <si>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</si>
  <si>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</si>
  <si>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</si>
  <si>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</si>
  <si>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</si>
  <si>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</si>
  <si>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</si>
  <si>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</si>
  <si>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</si>
  <si>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</si>
  <si>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</si>
  <si>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</si>
  <si>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</si>
  <si>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</si>
  <si>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</si>
  <si>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</si>
  <si>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</si>
  <si>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HUDSON SCHOOL DISTRICT</t>
  </si>
  <si>
    <t>ALVIRNE TRUSTEES</t>
  </si>
  <si>
    <t>08/10</t>
  </si>
  <si>
    <t>06/21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</si>
</sst>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2">
    <xf numFmtId="0" fontId="0" fillId="0" borderId="0"/>
    <xf numFmtId="43" fontId="37" fillId="0" borderId="0" applyFont="0" applyFill="0" applyBorder="0" applyAlignment="0" applyProtection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3" fontId="0" fillId="0" borderId="0" xfId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26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267</v>
      </c>
      <c r="C2" s="21">
        <v>267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2402764.26+100+100</f>
        <v>2402964.2599999998</v>
      </c>
      <c r="G9" s="18">
        <v>250782.23</v>
      </c>
      <c r="H9" s="18">
        <f>63598.54+31038.99+41194.87-6990.13+16461.92+94530.79+71801.02</f>
        <v>311636</v>
      </c>
      <c r="I9" s="18"/>
      <c r="J9" s="67">
        <f>SUM(I439)</f>
        <v>685092.73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383960.39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349785.92</v>
      </c>
      <c r="G13" s="18">
        <v>32262.43</v>
      </c>
      <c r="H13" s="18">
        <v>386155.02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13886.69</v>
      </c>
      <c r="G14" s="18"/>
      <c r="H14" s="18"/>
      <c r="I14" s="18"/>
      <c r="J14" s="67">
        <f>SUM(I443)</f>
        <v>2679.73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3150597.26</v>
      </c>
      <c r="G19" s="41">
        <f>SUM(G9:G18)</f>
        <v>283044.66000000003</v>
      </c>
      <c r="H19" s="41">
        <f>SUM(H9:H18)</f>
        <v>697791.02</v>
      </c>
      <c r="I19" s="41">
        <f>SUM(I9:I18)</f>
        <v>0</v>
      </c>
      <c r="J19" s="41">
        <f>SUM(J9:J18)</f>
        <v>687772.46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382675.59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41137.72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328252.34999999998</v>
      </c>
      <c r="G24" s="18">
        <v>836.77</v>
      </c>
      <c r="H24" s="18">
        <f>312.18+2977+874.89+100.02+83.78</f>
        <v>4347.87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-110243.86</v>
      </c>
      <c r="G28" s="18">
        <v>4070.25</v>
      </c>
      <c r="H28" s="18">
        <v>1920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1570110.3-32.77-1238.68-197.85</f>
        <v>1568641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10800</v>
      </c>
      <c r="G30" s="18">
        <v>25323.47</v>
      </c>
      <c r="H30" s="18">
        <v>3167.25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1838587.21</v>
      </c>
      <c r="G32" s="41">
        <f>SUM(G22:G31)</f>
        <v>30230.49</v>
      </c>
      <c r="H32" s="41">
        <f>SUM(H22:H31)</f>
        <v>392110.71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124453.95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50000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f>230995.13+21819.04</f>
        <v>252814.17</v>
      </c>
      <c r="H48" s="18">
        <f>60803.65+28061.99+41194.87-7090.15+16461.92+94447.01+71801.02</f>
        <v>305680.31000000006</v>
      </c>
      <c r="I48" s="18"/>
      <c r="J48" s="13">
        <f>SUM(I459)</f>
        <v>687772.46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174356.64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1013199.46-50000</f>
        <v>963199.46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1312010.05</v>
      </c>
      <c r="G51" s="41">
        <f>SUM(G35:G50)</f>
        <v>252814.17</v>
      </c>
      <c r="H51" s="41">
        <f>SUM(H35:H50)</f>
        <v>305680.31000000006</v>
      </c>
      <c r="I51" s="41">
        <f>SUM(I35:I50)</f>
        <v>0</v>
      </c>
      <c r="J51" s="41">
        <f>SUM(J35:J50)</f>
        <v>687772.46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3150597.26</v>
      </c>
      <c r="G52" s="41">
        <f>G51+G32</f>
        <v>283044.66000000003</v>
      </c>
      <c r="H52" s="41">
        <f>H51+H32</f>
        <v>697791.02</v>
      </c>
      <c r="I52" s="41">
        <f>I51+I32</f>
        <v>0</v>
      </c>
      <c r="J52" s="41">
        <f>J51+J32</f>
        <v>687772.46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26543140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26543140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68208.570000000007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27292.49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84273.5</v>
      </c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179774.56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6194.19</v>
      </c>
      <c r="G96" s="18">
        <v>488.79</v>
      </c>
      <c r="H96" s="18">
        <f>113.91+51.49+78.33+28.88+150.73+105.53</f>
        <v>528.87</v>
      </c>
      <c r="I96" s="18"/>
      <c r="J96" s="18">
        <v>3354.43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552823.2+229969.37+7707</f>
        <v>790499.57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10392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29475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f>69483.33+150000</f>
        <v>219483.33000000002</v>
      </c>
      <c r="G102" s="18">
        <v>17600.45</v>
      </c>
      <c r="H102" s="18">
        <v>6300</v>
      </c>
      <c r="I102" s="18"/>
      <c r="J102" s="18">
        <v>161766.60999999999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>
        <f>38991.79+21892.41+27185.54+22416.27+18890.89+19190.2+65262.45+231+6180</f>
        <v>220240.55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324606.15999999997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2434.85+16719.39</f>
        <v>19154.239999999998</v>
      </c>
      <c r="G110" s="18">
        <v>4216.8900000000003</v>
      </c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609304.91999999993</v>
      </c>
      <c r="G111" s="41">
        <f>SUM(G96:G110)</f>
        <v>812805.7</v>
      </c>
      <c r="H111" s="41">
        <f>SUM(H96:H110)</f>
        <v>227069.41999999998</v>
      </c>
      <c r="I111" s="41">
        <f>SUM(I96:I110)</f>
        <v>0</v>
      </c>
      <c r="J111" s="41">
        <f>SUM(J96:J110)</f>
        <v>165121.03999999998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27332219.479999997</v>
      </c>
      <c r="G112" s="41">
        <f>G60+G111</f>
        <v>812805.7</v>
      </c>
      <c r="H112" s="41">
        <f>H60+H79+H94+H111</f>
        <v>227069.41999999998</v>
      </c>
      <c r="I112" s="41">
        <f>I60+I111</f>
        <v>0</v>
      </c>
      <c r="J112" s="41">
        <f>J60+J111</f>
        <v>165121.03999999998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9327818.2300000004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6117818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15445636.23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378559.36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230708.84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f>265189.37-2497</f>
        <v>262692.37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2497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18233.28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874457.57</v>
      </c>
      <c r="G136" s="41">
        <f>SUM(G123:G135)</f>
        <v>18233.28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16320093.800000001</v>
      </c>
      <c r="G140" s="41">
        <f>G121+SUM(G136:G137)</f>
        <v>18233.28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477165.2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95340.84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160673.44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v>52204.09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86203.46+40762.03+215317.79</f>
        <v>342283.28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794065.23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380694.54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10729.85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380694.54</v>
      </c>
      <c r="G162" s="41">
        <f>SUM(G150:G161)</f>
        <v>342283.28</v>
      </c>
      <c r="H162" s="41">
        <f>SUM(H150:H161)</f>
        <v>1590178.65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380694.54</v>
      </c>
      <c r="G169" s="41">
        <f>G147+G162+SUM(G163:G168)</f>
        <v>342283.28</v>
      </c>
      <c r="H169" s="41">
        <f>H147+H162+SUM(H163:H168)</f>
        <v>1590178.65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>
        <v>39899.21</v>
      </c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39899.21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39899.21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44072907.030000001</v>
      </c>
      <c r="G193" s="47">
        <f>G112+G140+G169+G192</f>
        <v>1173322.26</v>
      </c>
      <c r="H193" s="47">
        <f>H112+H140+H169+H192</f>
        <v>1817248.0699999998</v>
      </c>
      <c r="I193" s="47">
        <f>I112+I140+I169+I192</f>
        <v>0</v>
      </c>
      <c r="J193" s="47">
        <f>J112+J140+J192</f>
        <v>165121.03999999998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4329286.8899999997</v>
      </c>
      <c r="G197" s="18">
        <v>2288319.2799999998</v>
      </c>
      <c r="H197" s="18">
        <v>97450.65</v>
      </c>
      <c r="I197" s="18">
        <v>235201.57</v>
      </c>
      <c r="J197" s="18">
        <f>112562.66</f>
        <v>112562.66</v>
      </c>
      <c r="K197" s="18"/>
      <c r="L197" s="19">
        <f>SUM(F197:K197)</f>
        <v>7062821.0500000007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1663694.47</v>
      </c>
      <c r="G198" s="18">
        <v>568498</v>
      </c>
      <c r="H198" s="18">
        <v>745477.78</v>
      </c>
      <c r="I198" s="18">
        <v>12660.68</v>
      </c>
      <c r="J198" s="18">
        <v>7943.88</v>
      </c>
      <c r="K198" s="18">
        <v>655</v>
      </c>
      <c r="L198" s="19">
        <f>SUM(F198:K198)</f>
        <v>2998929.81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6916</v>
      </c>
      <c r="G200" s="18">
        <v>1692.2</v>
      </c>
      <c r="H200" s="18"/>
      <c r="I200" s="18"/>
      <c r="J200" s="18"/>
      <c r="K200" s="18"/>
      <c r="L200" s="19">
        <f>SUM(F200:K200)</f>
        <v>8608.2000000000007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1036955.22</v>
      </c>
      <c r="G202" s="18">
        <v>485645.86</v>
      </c>
      <c r="H202" s="18">
        <v>167584.10999999999</v>
      </c>
      <c r="I202" s="18">
        <v>21551.68</v>
      </c>
      <c r="J202" s="18">
        <v>1412.5</v>
      </c>
      <c r="K202" s="18">
        <f>27.82</f>
        <v>27.82</v>
      </c>
      <c r="L202" s="19">
        <f t="shared" ref="L202:L208" si="0">SUM(F202:K202)</f>
        <v>1713177.19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203912.31</v>
      </c>
      <c r="G203" s="18">
        <v>186277.46</v>
      </c>
      <c r="H203" s="18">
        <v>44221.18</v>
      </c>
      <c r="I203" s="18">
        <v>33263.14</v>
      </c>
      <c r="J203" s="18">
        <f>20577.31</f>
        <v>20577.310000000001</v>
      </c>
      <c r="K203" s="18"/>
      <c r="L203" s="19">
        <f t="shared" si="0"/>
        <v>488251.4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203812.23</v>
      </c>
      <c r="G204" s="18">
        <v>89519.84</v>
      </c>
      <c r="H204" s="18">
        <v>46377.440000000002</v>
      </c>
      <c r="I204" s="18">
        <v>6888.25</v>
      </c>
      <c r="J204" s="18">
        <f>448.51</f>
        <v>448.51</v>
      </c>
      <c r="K204" s="18">
        <v>5669.39</v>
      </c>
      <c r="L204" s="19">
        <f t="shared" si="0"/>
        <v>352715.66000000003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764382.25</v>
      </c>
      <c r="G205" s="18">
        <v>329370.40000000002</v>
      </c>
      <c r="H205" s="18">
        <v>62006.11</v>
      </c>
      <c r="I205" s="18">
        <v>15932.11</v>
      </c>
      <c r="J205" s="18">
        <v>1425</v>
      </c>
      <c r="K205" s="18">
        <v>4142</v>
      </c>
      <c r="L205" s="19">
        <f t="shared" si="0"/>
        <v>1177257.8700000001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179444.36</v>
      </c>
      <c r="G206" s="18">
        <v>102918.52</v>
      </c>
      <c r="H206" s="18">
        <v>42394.34</v>
      </c>
      <c r="I206" s="18">
        <v>4827.05</v>
      </c>
      <c r="J206" s="18"/>
      <c r="K206" s="18">
        <f>1515.59+0.01</f>
        <v>1515.6</v>
      </c>
      <c r="L206" s="19">
        <f t="shared" si="0"/>
        <v>331099.86999999994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656093.39</v>
      </c>
      <c r="G207" s="18">
        <v>294473.09000000003</v>
      </c>
      <c r="H207" s="18">
        <v>521198.94</v>
      </c>
      <c r="I207" s="18">
        <v>397595.27</v>
      </c>
      <c r="J207" s="18">
        <v>8300.18</v>
      </c>
      <c r="K207" s="18"/>
      <c r="L207" s="19">
        <f t="shared" si="0"/>
        <v>1877660.8699999999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504235.11+236620.39</f>
        <v>740855.5</v>
      </c>
      <c r="I208" s="18"/>
      <c r="J208" s="18"/>
      <c r="K208" s="18"/>
      <c r="L208" s="19">
        <f t="shared" si="0"/>
        <v>740855.5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9044497.1199999992</v>
      </c>
      <c r="G211" s="41">
        <f t="shared" si="1"/>
        <v>4346714.6499999994</v>
      </c>
      <c r="H211" s="41">
        <f t="shared" si="1"/>
        <v>2467566.0499999998</v>
      </c>
      <c r="I211" s="41">
        <f t="shared" si="1"/>
        <v>727919.75</v>
      </c>
      <c r="J211" s="41">
        <f t="shared" si="1"/>
        <v>152670.04</v>
      </c>
      <c r="K211" s="41">
        <f t="shared" si="1"/>
        <v>12009.81</v>
      </c>
      <c r="L211" s="41">
        <f t="shared" si="1"/>
        <v>16751377.419999998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2850687.77</v>
      </c>
      <c r="G215" s="18">
        <v>1348534.91</v>
      </c>
      <c r="H215" s="18">
        <v>50430.19</v>
      </c>
      <c r="I215" s="18">
        <v>127337.06</v>
      </c>
      <c r="J215" s="18">
        <v>76442.73</v>
      </c>
      <c r="K215" s="18">
        <v>976.5</v>
      </c>
      <c r="L215" s="19">
        <f>SUM(F215:K215)</f>
        <v>4454409.16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972303.95</v>
      </c>
      <c r="G216" s="18">
        <v>431079.31</v>
      </c>
      <c r="H216" s="18">
        <v>357799.32</v>
      </c>
      <c r="I216" s="18">
        <v>4959.95</v>
      </c>
      <c r="J216" s="18">
        <v>8049.56</v>
      </c>
      <c r="K216" s="18"/>
      <c r="L216" s="19">
        <f>SUM(F216:K216)</f>
        <v>1774192.09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56198.95</v>
      </c>
      <c r="G218" s="18">
        <v>11729.02</v>
      </c>
      <c r="H218" s="18">
        <f>12638.24-7199.24</f>
        <v>5439</v>
      </c>
      <c r="I218" s="18">
        <v>8935.73</v>
      </c>
      <c r="J218" s="18">
        <v>629.98</v>
      </c>
      <c r="K218" s="18">
        <v>550</v>
      </c>
      <c r="L218" s="19">
        <f>SUM(F218:K218)</f>
        <v>83482.679999999993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545904.43000000005</v>
      </c>
      <c r="G220" s="18">
        <v>282725.59000000003</v>
      </c>
      <c r="H220" s="18">
        <v>89505.07</v>
      </c>
      <c r="I220" s="18">
        <v>5575.82</v>
      </c>
      <c r="J220" s="18">
        <v>3749.78</v>
      </c>
      <c r="K220" s="18">
        <v>14.97</v>
      </c>
      <c r="L220" s="19">
        <f t="shared" ref="L220:L226" si="2">SUM(F220:K220)</f>
        <v>927475.66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105779.22</v>
      </c>
      <c r="G221" s="18">
        <v>65506.78</v>
      </c>
      <c r="H221" s="18">
        <v>23226.3</v>
      </c>
      <c r="I221" s="18">
        <v>20312.91</v>
      </c>
      <c r="J221" s="18">
        <f>12672.96</f>
        <v>12672.96</v>
      </c>
      <c r="K221" s="18"/>
      <c r="L221" s="19">
        <f t="shared" si="2"/>
        <v>227498.16999999998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105651.69</v>
      </c>
      <c r="G222" s="18">
        <v>46459.79</v>
      </c>
      <c r="H222" s="18">
        <v>24872.07</v>
      </c>
      <c r="I222" s="18">
        <v>3635.99</v>
      </c>
      <c r="J222" s="18">
        <v>241.12</v>
      </c>
      <c r="K222" s="18">
        <v>3029.59</v>
      </c>
      <c r="L222" s="19">
        <f t="shared" si="2"/>
        <v>183890.25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412324.81</v>
      </c>
      <c r="G223" s="18">
        <v>198509.54</v>
      </c>
      <c r="H223" s="18">
        <v>21682.23</v>
      </c>
      <c r="I223" s="18">
        <v>25740.68</v>
      </c>
      <c r="J223" s="18"/>
      <c r="K223" s="18">
        <v>295</v>
      </c>
      <c r="L223" s="19">
        <f t="shared" si="2"/>
        <v>658552.26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96469.8</v>
      </c>
      <c r="G224" s="18">
        <v>55329.29</v>
      </c>
      <c r="H224" s="18">
        <v>22791.32</v>
      </c>
      <c r="I224" s="18">
        <v>2595.04</v>
      </c>
      <c r="J224" s="18"/>
      <c r="K224" s="18">
        <v>814.78</v>
      </c>
      <c r="L224" s="19">
        <f t="shared" si="2"/>
        <v>178000.23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360597.34</v>
      </c>
      <c r="G225" s="18">
        <v>201090.21</v>
      </c>
      <c r="H225" s="18">
        <v>229380.39</v>
      </c>
      <c r="I225" s="18">
        <v>214273.67</v>
      </c>
      <c r="J225" s="18">
        <v>5216.67</v>
      </c>
      <c r="K225" s="18"/>
      <c r="L225" s="19">
        <f t="shared" si="2"/>
        <v>1010558.2800000001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f>269580.46+112627.17+7199.24</f>
        <v>389406.87</v>
      </c>
      <c r="I226" s="18"/>
      <c r="J226" s="18"/>
      <c r="K226" s="18"/>
      <c r="L226" s="19">
        <f t="shared" si="2"/>
        <v>389406.87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5505917.959999999</v>
      </c>
      <c r="G229" s="41">
        <f>SUM(G215:G228)</f>
        <v>2640964.44</v>
      </c>
      <c r="H229" s="41">
        <f>SUM(H215:H228)</f>
        <v>1214532.7599999998</v>
      </c>
      <c r="I229" s="41">
        <f>SUM(I215:I228)</f>
        <v>413366.85000000003</v>
      </c>
      <c r="J229" s="41">
        <f>SUM(J215:J228)</f>
        <v>107002.79999999997</v>
      </c>
      <c r="K229" s="41">
        <f t="shared" si="3"/>
        <v>5680.84</v>
      </c>
      <c r="L229" s="41">
        <f t="shared" si="3"/>
        <v>9887465.6499999985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3712225.26</v>
      </c>
      <c r="G233" s="18">
        <v>1871891.04</v>
      </c>
      <c r="H233" s="18">
        <v>99671.42</v>
      </c>
      <c r="I233" s="18">
        <v>140838.45000000001</v>
      </c>
      <c r="J233" s="18">
        <v>55162.96</v>
      </c>
      <c r="K233" s="18">
        <v>3170.22</v>
      </c>
      <c r="L233" s="19">
        <f>SUM(F233:K233)</f>
        <v>5882959.3499999996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1262974.01</v>
      </c>
      <c r="G234" s="18">
        <v>510676.43</v>
      </c>
      <c r="H234" s="18">
        <v>587087.84</v>
      </c>
      <c r="I234" s="18">
        <v>4278.88</v>
      </c>
      <c r="J234" s="18">
        <v>3151.43</v>
      </c>
      <c r="K234" s="18"/>
      <c r="L234" s="19">
        <f>SUM(F234:K234)</f>
        <v>2368168.59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894417.91</v>
      </c>
      <c r="G235" s="18">
        <v>470090.85</v>
      </c>
      <c r="H235" s="18">
        <f>62439.17-10245.4</f>
        <v>52193.77</v>
      </c>
      <c r="I235" s="18">
        <v>119605.29</v>
      </c>
      <c r="J235" s="18">
        <v>4144.0200000000004</v>
      </c>
      <c r="K235" s="18">
        <v>810</v>
      </c>
      <c r="L235" s="19">
        <f>SUM(F235:K235)</f>
        <v>1541261.84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251744.5</v>
      </c>
      <c r="G236" s="18">
        <v>41454.01</v>
      </c>
      <c r="H236" s="18">
        <f>140202.19-56834.03</f>
        <v>83368.160000000003</v>
      </c>
      <c r="I236" s="18">
        <v>35722.22</v>
      </c>
      <c r="J236" s="18">
        <v>9604.3799999999992</v>
      </c>
      <c r="K236" s="18">
        <v>13985</v>
      </c>
      <c r="L236" s="19">
        <f>SUM(F236:K236)</f>
        <v>435878.27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721601.31</v>
      </c>
      <c r="G238" s="18">
        <v>361465.69</v>
      </c>
      <c r="H238" s="18">
        <v>135112.82999999999</v>
      </c>
      <c r="I238" s="18">
        <v>12199.4</v>
      </c>
      <c r="J238" s="18"/>
      <c r="K238" s="18">
        <v>580.23</v>
      </c>
      <c r="L238" s="19">
        <f t="shared" ref="L238:L244" si="4">SUM(F238:K238)</f>
        <v>1230959.46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138151.47</v>
      </c>
      <c r="G239" s="18">
        <v>110991.41</v>
      </c>
      <c r="H239" s="18">
        <v>37753.769999999997</v>
      </c>
      <c r="I239" s="18">
        <v>9922.32</v>
      </c>
      <c r="J239" s="18">
        <v>33836.800000000003</v>
      </c>
      <c r="K239" s="18"/>
      <c r="L239" s="19">
        <f t="shared" si="4"/>
        <v>330655.77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161751.72</v>
      </c>
      <c r="G240" s="18">
        <v>71061.179999999993</v>
      </c>
      <c r="H240" s="18">
        <v>37041.25</v>
      </c>
      <c r="I240" s="18">
        <v>5485.16</v>
      </c>
      <c r="J240" s="18">
        <v>358.38</v>
      </c>
      <c r="K240" s="18">
        <v>4525.01</v>
      </c>
      <c r="L240" s="19">
        <f t="shared" si="4"/>
        <v>280222.7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560808.68999999994</v>
      </c>
      <c r="G241" s="18">
        <v>283985.21000000002</v>
      </c>
      <c r="H241" s="18">
        <v>53324.95</v>
      </c>
      <c r="I241" s="18">
        <v>20232.52</v>
      </c>
      <c r="J241" s="18"/>
      <c r="K241" s="18">
        <v>12197.05</v>
      </c>
      <c r="L241" s="19">
        <f t="shared" si="4"/>
        <v>930548.41999999993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143386.79999999999</v>
      </c>
      <c r="G242" s="18">
        <v>82238.070000000007</v>
      </c>
      <c r="H242" s="18">
        <v>33875.620000000003</v>
      </c>
      <c r="I242" s="18">
        <v>3857.11</v>
      </c>
      <c r="J242" s="18"/>
      <c r="K242" s="18">
        <v>1211.03</v>
      </c>
      <c r="L242" s="19">
        <f t="shared" si="4"/>
        <v>264568.63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495701.62</v>
      </c>
      <c r="G243" s="18">
        <v>241194.73</v>
      </c>
      <c r="H243" s="18">
        <v>442933.15</v>
      </c>
      <c r="I243" s="18">
        <v>492800.58</v>
      </c>
      <c r="J243" s="18">
        <v>7392.73</v>
      </c>
      <c r="K243" s="18"/>
      <c r="L243" s="19">
        <f t="shared" si="4"/>
        <v>1680022.81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401349.95+184956.55+10245.4+56834.03</f>
        <v>653385.93000000005</v>
      </c>
      <c r="I244" s="18"/>
      <c r="J244" s="18"/>
      <c r="K244" s="18"/>
      <c r="L244" s="19">
        <f t="shared" si="4"/>
        <v>653385.93000000005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8342763.2899999991</v>
      </c>
      <c r="G247" s="41">
        <f t="shared" si="5"/>
        <v>4045048.62</v>
      </c>
      <c r="H247" s="41">
        <f t="shared" si="5"/>
        <v>2215748.6900000004</v>
      </c>
      <c r="I247" s="41">
        <f t="shared" si="5"/>
        <v>844941.92999999993</v>
      </c>
      <c r="J247" s="41">
        <f t="shared" si="5"/>
        <v>113650.70000000001</v>
      </c>
      <c r="K247" s="41">
        <f t="shared" si="5"/>
        <v>36478.539999999994</v>
      </c>
      <c r="L247" s="41">
        <f t="shared" si="5"/>
        <v>15598631.769999998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22893178.369999997</v>
      </c>
      <c r="G257" s="41">
        <f t="shared" si="8"/>
        <v>11032727.710000001</v>
      </c>
      <c r="H257" s="41">
        <f t="shared" si="8"/>
        <v>5897847.5</v>
      </c>
      <c r="I257" s="41">
        <f t="shared" si="8"/>
        <v>1986228.53</v>
      </c>
      <c r="J257" s="41">
        <f t="shared" si="8"/>
        <v>373323.54</v>
      </c>
      <c r="K257" s="41">
        <f t="shared" si="8"/>
        <v>54169.189999999995</v>
      </c>
      <c r="L257" s="41">
        <f t="shared" si="8"/>
        <v>42237474.839999996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2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274">
        <v>1093925.47</v>
      </c>
      <c r="L260" s="19">
        <f>SUM(F260:K260)</f>
        <v>1093925.47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229931.56</v>
      </c>
      <c r="L261" s="19">
        <f>SUM(F261:K261)</f>
        <v>229931.56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1323857.03</v>
      </c>
      <c r="L270" s="41">
        <f t="shared" si="9"/>
        <v>1323857.03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22893178.369999997</v>
      </c>
      <c r="G271" s="42">
        <f t="shared" si="11"/>
        <v>11032727.710000001</v>
      </c>
      <c r="H271" s="42">
        <f t="shared" si="11"/>
        <v>5897847.5</v>
      </c>
      <c r="I271" s="42">
        <f t="shared" si="11"/>
        <v>1986228.53</v>
      </c>
      <c r="J271" s="42">
        <f t="shared" si="11"/>
        <v>373323.54</v>
      </c>
      <c r="K271" s="42">
        <f t="shared" si="11"/>
        <v>1378026.22</v>
      </c>
      <c r="L271" s="42">
        <f t="shared" si="11"/>
        <v>43561331.869999997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306899</v>
      </c>
      <c r="G276" s="18">
        <v>24624.240000000002</v>
      </c>
      <c r="H276" s="18">
        <v>16139.21</v>
      </c>
      <c r="I276" s="18">
        <v>10870.19</v>
      </c>
      <c r="J276" s="18">
        <v>14219.72</v>
      </c>
      <c r="K276" s="18">
        <v>6172.61</v>
      </c>
      <c r="L276" s="19">
        <f>SUM(F276:K276)</f>
        <v>378924.97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282238</v>
      </c>
      <c r="G277" s="18">
        <v>107870.63</v>
      </c>
      <c r="H277" s="18">
        <v>25096.560000000001</v>
      </c>
      <c r="I277" s="18">
        <v>4081.02</v>
      </c>
      <c r="J277" s="18">
        <v>449.99</v>
      </c>
      <c r="K277" s="18">
        <v>8804.7000000000007</v>
      </c>
      <c r="L277" s="19">
        <f>SUM(F277:K277)</f>
        <v>428540.9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1711.84</v>
      </c>
      <c r="G281" s="18">
        <v>337.04</v>
      </c>
      <c r="H281" s="18">
        <v>1432.25</v>
      </c>
      <c r="I281" s="18">
        <v>1816.12</v>
      </c>
      <c r="J281" s="18">
        <v>63.8</v>
      </c>
      <c r="K281" s="18">
        <v>739.78</v>
      </c>
      <c r="L281" s="19">
        <f t="shared" ref="L281:L287" si="12">SUM(F281:K281)</f>
        <v>6100.83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24241.84</v>
      </c>
      <c r="G282" s="18">
        <v>1854.53</v>
      </c>
      <c r="H282" s="18">
        <v>4346.8999999999996</v>
      </c>
      <c r="I282" s="18">
        <v>160.06</v>
      </c>
      <c r="J282" s="18"/>
      <c r="K282" s="18">
        <v>100</v>
      </c>
      <c r="L282" s="19">
        <f t="shared" si="12"/>
        <v>30703.329999999998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615090.67999999993</v>
      </c>
      <c r="G290" s="42">
        <f t="shared" si="13"/>
        <v>134686.44</v>
      </c>
      <c r="H290" s="42">
        <f t="shared" si="13"/>
        <v>47014.920000000006</v>
      </c>
      <c r="I290" s="42">
        <f t="shared" si="13"/>
        <v>16927.390000000003</v>
      </c>
      <c r="J290" s="42">
        <f t="shared" si="13"/>
        <v>14733.509999999998</v>
      </c>
      <c r="K290" s="42">
        <f t="shared" si="13"/>
        <v>15817.090000000002</v>
      </c>
      <c r="L290" s="41">
        <f t="shared" si="13"/>
        <v>844270.02999999991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4892.96</v>
      </c>
      <c r="G295" s="18">
        <v>534.30999999999995</v>
      </c>
      <c r="H295" s="18">
        <v>1397.88</v>
      </c>
      <c r="I295" s="18">
        <v>1645.46</v>
      </c>
      <c r="J295" s="18">
        <v>5463.92</v>
      </c>
      <c r="K295" s="18">
        <v>3318.41</v>
      </c>
      <c r="L295" s="19">
        <f>SUM(F295:K295)</f>
        <v>17252.940000000002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45451.29</v>
      </c>
      <c r="G296" s="18">
        <v>3614.05</v>
      </c>
      <c r="H296" s="18">
        <v>11545.96</v>
      </c>
      <c r="I296" s="18">
        <v>1114.93</v>
      </c>
      <c r="J296" s="18"/>
      <c r="K296" s="18">
        <v>4190.8900000000003</v>
      </c>
      <c r="L296" s="19">
        <f>SUM(F296:K296)</f>
        <v>65917.12000000001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920.29</v>
      </c>
      <c r="G300" s="18">
        <v>181.2</v>
      </c>
      <c r="H300" s="18">
        <v>769.98</v>
      </c>
      <c r="I300" s="18">
        <v>842.54</v>
      </c>
      <c r="J300" s="18">
        <v>34.299999999999997</v>
      </c>
      <c r="K300" s="18">
        <v>397.7</v>
      </c>
      <c r="L300" s="19">
        <f t="shared" ref="L300:L306" si="14">SUM(F300:K300)</f>
        <v>3146.01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13032.48</v>
      </c>
      <c r="G301" s="18">
        <v>997</v>
      </c>
      <c r="H301" s="18">
        <v>2269.71</v>
      </c>
      <c r="I301" s="18">
        <v>86.05</v>
      </c>
      <c r="J301" s="18">
        <v>18.41</v>
      </c>
      <c r="K301" s="18">
        <v>35.26</v>
      </c>
      <c r="L301" s="19">
        <f t="shared" si="14"/>
        <v>16438.909999999996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64297.020000000004</v>
      </c>
      <c r="G309" s="42">
        <f t="shared" si="15"/>
        <v>5326.56</v>
      </c>
      <c r="H309" s="42">
        <f t="shared" si="15"/>
        <v>15983.529999999999</v>
      </c>
      <c r="I309" s="42">
        <f t="shared" si="15"/>
        <v>3688.9800000000005</v>
      </c>
      <c r="J309" s="42">
        <f t="shared" si="15"/>
        <v>5516.63</v>
      </c>
      <c r="K309" s="42">
        <f t="shared" si="15"/>
        <v>7942.26</v>
      </c>
      <c r="L309" s="41">
        <f t="shared" si="15"/>
        <v>102754.98000000001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77320.600000000006</v>
      </c>
      <c r="G314" s="18">
        <v>17988.18</v>
      </c>
      <c r="H314" s="18">
        <v>2077.73</v>
      </c>
      <c r="I314" s="18">
        <v>2445.71</v>
      </c>
      <c r="J314" s="18">
        <v>8121.23</v>
      </c>
      <c r="K314" s="18">
        <v>4932.29</v>
      </c>
      <c r="L314" s="19">
        <f>SUM(F314:K314)</f>
        <v>112885.73999999999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193283.61</v>
      </c>
      <c r="G315" s="18">
        <v>69498.179999999993</v>
      </c>
      <c r="H315" s="18">
        <v>25275.48</v>
      </c>
      <c r="I315" s="18">
        <v>1830.94</v>
      </c>
      <c r="J315" s="18"/>
      <c r="K315" s="18">
        <v>6882.29</v>
      </c>
      <c r="L315" s="19">
        <f>SUM(F315:K315)</f>
        <v>296770.49999999994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f>64575+16848.42</f>
        <v>81423.42</v>
      </c>
      <c r="G316" s="18">
        <f>8468.96+1162.08</f>
        <v>9631.0399999999991</v>
      </c>
      <c r="H316" s="18">
        <f>29365.31+17455.56</f>
        <v>46820.87</v>
      </c>
      <c r="I316" s="18">
        <f>9532.03+125072.8</f>
        <v>134604.83000000002</v>
      </c>
      <c r="J316" s="18">
        <f>31963.42+17293.54</f>
        <v>49256.959999999999</v>
      </c>
      <c r="K316" s="18">
        <f>4121.47+2000</f>
        <v>6121.47</v>
      </c>
      <c r="L316" s="19">
        <f>SUM(F316:K316)</f>
        <v>327858.59000000003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1367.87</v>
      </c>
      <c r="G319" s="18">
        <v>269.32</v>
      </c>
      <c r="H319" s="18">
        <v>1144.46</v>
      </c>
      <c r="I319" s="18">
        <v>1252.3</v>
      </c>
      <c r="J319" s="18">
        <v>50.98</v>
      </c>
      <c r="K319" s="18">
        <v>591.11</v>
      </c>
      <c r="L319" s="19">
        <f t="shared" ref="L319:L325" si="16">SUM(F319:K319)</f>
        <v>4676.04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19370.68</v>
      </c>
      <c r="G320" s="18">
        <v>1481.88</v>
      </c>
      <c r="H320" s="18">
        <v>3373.55</v>
      </c>
      <c r="I320" s="18">
        <v>127.91</v>
      </c>
      <c r="J320" s="18"/>
      <c r="K320" s="18">
        <v>4236.99</v>
      </c>
      <c r="L320" s="19">
        <f t="shared" si="16"/>
        <v>28591.010000000002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372766.17999999993</v>
      </c>
      <c r="G328" s="42">
        <f t="shared" si="17"/>
        <v>98868.599999999991</v>
      </c>
      <c r="H328" s="42">
        <f t="shared" si="17"/>
        <v>78692.090000000011</v>
      </c>
      <c r="I328" s="42">
        <f t="shared" si="17"/>
        <v>140261.69</v>
      </c>
      <c r="J328" s="42">
        <f t="shared" si="17"/>
        <v>57429.170000000006</v>
      </c>
      <c r="K328" s="42">
        <f t="shared" si="17"/>
        <v>22764.15</v>
      </c>
      <c r="L328" s="41">
        <f t="shared" si="17"/>
        <v>770781.88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7500</v>
      </c>
      <c r="G333" s="18">
        <v>1381.52</v>
      </c>
      <c r="H333" s="18">
        <f>41999.66+4639.7</f>
        <v>46639.360000000001</v>
      </c>
      <c r="I333" s="18">
        <v>1401.96</v>
      </c>
      <c r="J333" s="18"/>
      <c r="K333" s="18">
        <v>1322.91</v>
      </c>
      <c r="L333" s="19">
        <f t="shared" si="18"/>
        <v>58245.750000000007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7500</v>
      </c>
      <c r="G337" s="41">
        <f t="shared" si="19"/>
        <v>1381.52</v>
      </c>
      <c r="H337" s="41">
        <f t="shared" si="19"/>
        <v>46639.360000000001</v>
      </c>
      <c r="I337" s="41">
        <f t="shared" si="19"/>
        <v>1401.96</v>
      </c>
      <c r="J337" s="41">
        <f t="shared" si="19"/>
        <v>0</v>
      </c>
      <c r="K337" s="41">
        <f t="shared" si="19"/>
        <v>1322.91</v>
      </c>
      <c r="L337" s="41">
        <f t="shared" si="18"/>
        <v>58245.750000000007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1059653.8799999999</v>
      </c>
      <c r="G338" s="41">
        <f t="shared" si="20"/>
        <v>240263.11999999997</v>
      </c>
      <c r="H338" s="41">
        <f t="shared" si="20"/>
        <v>188329.90000000002</v>
      </c>
      <c r="I338" s="41">
        <f t="shared" si="20"/>
        <v>162280.01999999999</v>
      </c>
      <c r="J338" s="41">
        <f t="shared" si="20"/>
        <v>77679.31</v>
      </c>
      <c r="K338" s="41">
        <f t="shared" si="20"/>
        <v>47846.41</v>
      </c>
      <c r="L338" s="41">
        <f t="shared" si="20"/>
        <v>1776052.64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1059653.8799999999</v>
      </c>
      <c r="G352" s="41">
        <f>G338</f>
        <v>240263.11999999997</v>
      </c>
      <c r="H352" s="41">
        <f>H338</f>
        <v>188329.90000000002</v>
      </c>
      <c r="I352" s="41">
        <f>I338</f>
        <v>162280.01999999999</v>
      </c>
      <c r="J352" s="41">
        <f>J338</f>
        <v>77679.31</v>
      </c>
      <c r="K352" s="47">
        <f>K338+K351</f>
        <v>47846.41</v>
      </c>
      <c r="L352" s="41">
        <f>L338+L351</f>
        <v>1776052.64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212739.49</v>
      </c>
      <c r="G358" s="18">
        <v>109063.99</v>
      </c>
      <c r="H358" s="18">
        <v>17638.95</v>
      </c>
      <c r="I358" s="18">
        <f>15849.78+143722.36</f>
        <v>159572.13999999998</v>
      </c>
      <c r="J358" s="18">
        <v>4797.7299999999996</v>
      </c>
      <c r="K358" s="18">
        <v>2803.2</v>
      </c>
      <c r="L358" s="13">
        <f>SUM(F358:K358)</f>
        <v>506615.49999999994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98675.83</v>
      </c>
      <c r="G359" s="18">
        <v>47192.18</v>
      </c>
      <c r="H359" s="18">
        <v>3216.73</v>
      </c>
      <c r="I359" s="18">
        <f>10534.24+113065.91</f>
        <v>123600.15000000001</v>
      </c>
      <c r="J359" s="18">
        <v>24427.279999999999</v>
      </c>
      <c r="K359" s="18">
        <v>1793.88</v>
      </c>
      <c r="L359" s="19">
        <f>SUM(F359:K359)</f>
        <v>298906.05000000005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121449.35</v>
      </c>
      <c r="G360" s="18">
        <v>57023.56</v>
      </c>
      <c r="H360" s="18">
        <v>5966.76</v>
      </c>
      <c r="I360" s="18">
        <f>10952.19+147272.1</f>
        <v>158224.29</v>
      </c>
      <c r="J360" s="18">
        <v>1586.34</v>
      </c>
      <c r="K360" s="18">
        <v>1731.37</v>
      </c>
      <c r="L360" s="19">
        <f>SUM(F360:K360)</f>
        <v>345981.67000000004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432864.67000000004</v>
      </c>
      <c r="G362" s="47">
        <f t="shared" si="22"/>
        <v>213279.73</v>
      </c>
      <c r="H362" s="47">
        <f t="shared" si="22"/>
        <v>26822.440000000002</v>
      </c>
      <c r="I362" s="47">
        <f t="shared" si="22"/>
        <v>441396.57999999996</v>
      </c>
      <c r="J362" s="47">
        <f t="shared" si="22"/>
        <v>30811.35</v>
      </c>
      <c r="K362" s="47">
        <f t="shared" si="22"/>
        <v>6328.45</v>
      </c>
      <c r="L362" s="47">
        <f t="shared" si="22"/>
        <v>1151503.2200000002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143722.35999999999</v>
      </c>
      <c r="G367" s="18">
        <v>113065.91</v>
      </c>
      <c r="H367" s="18">
        <v>147272.1</v>
      </c>
      <c r="I367" s="56">
        <f>SUM(F367:H367)</f>
        <v>404060.37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15849.78</v>
      </c>
      <c r="G368" s="63">
        <v>10534.24</v>
      </c>
      <c r="H368" s="63">
        <v>10952.19</v>
      </c>
      <c r="I368" s="56">
        <f>SUM(F368:H368)</f>
        <v>37336.21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159572.13999999998</v>
      </c>
      <c r="G369" s="47">
        <f>SUM(G367:G368)</f>
        <v>123600.15000000001</v>
      </c>
      <c r="H369" s="47">
        <f>SUM(H367:H368)</f>
        <v>158224.29</v>
      </c>
      <c r="I369" s="47">
        <f>SUM(I367:I368)</f>
        <v>441396.58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>
        <f>2169.06+1.41+553.56</f>
        <v>2724.0299999999997</v>
      </c>
      <c r="I389" s="18"/>
      <c r="J389" s="24" t="s">
        <v>289</v>
      </c>
      <c r="K389" s="24" t="s">
        <v>289</v>
      </c>
      <c r="L389" s="56">
        <f t="shared" si="25"/>
        <v>2724.0299999999997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>
        <v>161766.60999999999</v>
      </c>
      <c r="J392" s="24" t="s">
        <v>289</v>
      </c>
      <c r="K392" s="24" t="s">
        <v>289</v>
      </c>
      <c r="L392" s="56">
        <f t="shared" si="25"/>
        <v>161766.60999999999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2724.0299999999997</v>
      </c>
      <c r="I393" s="65">
        <f>SUM(I387:I392)</f>
        <v>161766.60999999999</v>
      </c>
      <c r="J393" s="45" t="s">
        <v>289</v>
      </c>
      <c r="K393" s="45" t="s">
        <v>289</v>
      </c>
      <c r="L393" s="47">
        <f>SUM(L387:L392)</f>
        <v>164490.63999999998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626.57000000000005</v>
      </c>
      <c r="I397" s="18"/>
      <c r="J397" s="24" t="s">
        <v>289</v>
      </c>
      <c r="K397" s="24" t="s">
        <v>289</v>
      </c>
      <c r="L397" s="56">
        <f t="shared" si="26"/>
        <v>626.57000000000005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v>3.83</v>
      </c>
      <c r="I400" s="18"/>
      <c r="J400" s="24" t="s">
        <v>289</v>
      </c>
      <c r="K400" s="24" t="s">
        <v>289</v>
      </c>
      <c r="L400" s="56">
        <f t="shared" si="26"/>
        <v>3.83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630.40000000000009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630.40000000000009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3354.43</v>
      </c>
      <c r="I408" s="47">
        <f>I393+I401+I407</f>
        <v>161766.60999999999</v>
      </c>
      <c r="J408" s="24" t="s">
        <v>289</v>
      </c>
      <c r="K408" s="24" t="s">
        <v>289</v>
      </c>
      <c r="L408" s="47">
        <f>L393+L401+L407</f>
        <v>165121.03999999998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 t="s">
        <v>912</v>
      </c>
      <c r="B432" s="6">
        <v>17</v>
      </c>
      <c r="C432" s="6">
        <v>18</v>
      </c>
      <c r="D432" s="2" t="s">
        <v>433</v>
      </c>
      <c r="E432" s="6"/>
      <c r="F432" s="18"/>
      <c r="G432" s="18"/>
      <c r="H432" s="18">
        <f>64101.32</f>
        <v>64101.32</v>
      </c>
      <c r="I432" s="18">
        <f>518.63</f>
        <v>518.63</v>
      </c>
      <c r="J432" s="18">
        <f>65783.89+4299+19060.77</f>
        <v>89143.66</v>
      </c>
      <c r="K432" s="18">
        <f>8003</f>
        <v>8003</v>
      </c>
      <c r="L432" s="56">
        <f>SUM(F432:K432)</f>
        <v>161766.60999999999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64101.32</v>
      </c>
      <c r="I433" s="47">
        <f t="shared" si="31"/>
        <v>518.63</v>
      </c>
      <c r="J433" s="47">
        <f t="shared" si="31"/>
        <v>89143.66</v>
      </c>
      <c r="K433" s="47">
        <f t="shared" si="31"/>
        <v>8003</v>
      </c>
      <c r="L433" s="47">
        <f t="shared" si="31"/>
        <v>161766.60999999999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64101.32</v>
      </c>
      <c r="I434" s="47">
        <f t="shared" si="32"/>
        <v>518.63</v>
      </c>
      <c r="J434" s="47">
        <f t="shared" si="32"/>
        <v>89143.66</v>
      </c>
      <c r="K434" s="47">
        <f t="shared" si="32"/>
        <v>8003</v>
      </c>
      <c r="L434" s="47">
        <f t="shared" si="32"/>
        <v>161766.60999999999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443408.56</v>
      </c>
      <c r="G439" s="18">
        <f>128083.48+1.13+943.46+113155.42-1284.8</f>
        <v>240898.69</v>
      </c>
      <c r="H439" s="18">
        <v>785.48</v>
      </c>
      <c r="I439" s="56">
        <f t="shared" ref="I439:I445" si="33">SUM(F439:H439)</f>
        <v>685092.73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>
        <v>2679.73</v>
      </c>
      <c r="H443" s="18"/>
      <c r="I443" s="56">
        <f t="shared" si="33"/>
        <v>2679.73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443408.56</v>
      </c>
      <c r="G446" s="13">
        <f>SUM(G439:G445)</f>
        <v>243578.42</v>
      </c>
      <c r="H446" s="13">
        <f>SUM(H439:H445)</f>
        <v>785.48</v>
      </c>
      <c r="I446" s="13">
        <f>SUM(I439:I445)</f>
        <v>687772.46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443408.56</v>
      </c>
      <c r="G459" s="18">
        <f>1394.93+242183.49</f>
        <v>243578.41999999998</v>
      </c>
      <c r="H459" s="18">
        <v>785.48</v>
      </c>
      <c r="I459" s="56">
        <f t="shared" si="34"/>
        <v>687772.46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443408.56</v>
      </c>
      <c r="G460" s="83">
        <f>SUM(G454:G459)</f>
        <v>243578.41999999998</v>
      </c>
      <c r="H460" s="83">
        <f>SUM(H454:H459)</f>
        <v>785.48</v>
      </c>
      <c r="I460" s="83">
        <f>SUM(I454:I459)</f>
        <v>687772.46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443408.56</v>
      </c>
      <c r="G461" s="42">
        <f>G452+G460</f>
        <v>243578.41999999998</v>
      </c>
      <c r="H461" s="42">
        <f>H452+H460</f>
        <v>785.48</v>
      </c>
      <c r="I461" s="42">
        <f>I452+I460</f>
        <v>687772.46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800434.89</v>
      </c>
      <c r="G465" s="18">
        <v>230995.13</v>
      </c>
      <c r="H465" s="18">
        <v>264484.88</v>
      </c>
      <c r="I465" s="18"/>
      <c r="J465" s="18">
        <f>1394.93+683023.1</f>
        <v>684418.03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44072907.030000001</v>
      </c>
      <c r="G468" s="18">
        <v>1173322.26</v>
      </c>
      <c r="H468" s="18">
        <f>1590178.65+227069.42</f>
        <v>1817248.0699999998</v>
      </c>
      <c r="I468" s="18"/>
      <c r="J468" s="18">
        <f>161766.61+3354.43</f>
        <v>165121.03999999998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44072907.030000001</v>
      </c>
      <c r="G470" s="53">
        <f>SUM(G468:G469)</f>
        <v>1173322.26</v>
      </c>
      <c r="H470" s="53">
        <f>SUM(H468:H469)</f>
        <v>1817248.0699999998</v>
      </c>
      <c r="I470" s="53">
        <f>SUM(I468:I469)</f>
        <v>0</v>
      </c>
      <c r="J470" s="53">
        <f>SUM(J468:J469)</f>
        <v>165121.03999999998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43561331.869999997</v>
      </c>
      <c r="G472" s="18">
        <v>1151503.22</v>
      </c>
      <c r="H472" s="18">
        <f>1590178.64+185874</f>
        <v>1776052.64</v>
      </c>
      <c r="I472" s="18"/>
      <c r="J472" s="18">
        <v>161766.60999999999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43561331.869999997</v>
      </c>
      <c r="G474" s="53">
        <f>SUM(G472:G473)</f>
        <v>1151503.22</v>
      </c>
      <c r="H474" s="53">
        <f>SUM(H472:H473)</f>
        <v>1776052.64</v>
      </c>
      <c r="I474" s="53">
        <f>SUM(I472:I473)</f>
        <v>0</v>
      </c>
      <c r="J474" s="53">
        <f>SUM(J472:J473)</f>
        <v>161766.60999999999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1312010.0500000045</v>
      </c>
      <c r="G476" s="53">
        <f>(G465+G470)- G474</f>
        <v>252814.17000000016</v>
      </c>
      <c r="H476" s="53">
        <f>(H465+H470)- H474</f>
        <v>305680.30999999982</v>
      </c>
      <c r="I476" s="53">
        <f>(I465+I470)- I474</f>
        <v>0</v>
      </c>
      <c r="J476" s="53">
        <f>(J465+J470)- J474</f>
        <v>687772.46000000008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12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913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914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8220000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2.7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6310000</v>
      </c>
      <c r="G495" s="18"/>
      <c r="H495" s="18"/>
      <c r="I495" s="18"/>
      <c r="J495" s="18"/>
      <c r="K495" s="53">
        <f>SUM(F495:J495)</f>
        <v>6310000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870000</v>
      </c>
      <c r="G497" s="18"/>
      <c r="H497" s="18"/>
      <c r="I497" s="18"/>
      <c r="J497" s="18"/>
      <c r="K497" s="53">
        <f t="shared" si="35"/>
        <v>870000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5440000</v>
      </c>
      <c r="G498" s="204"/>
      <c r="H498" s="204"/>
      <c r="I498" s="204"/>
      <c r="J498" s="204"/>
      <c r="K498" s="205">
        <f t="shared" si="35"/>
        <v>5440000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632021.92000000004</v>
      </c>
      <c r="G499" s="18"/>
      <c r="H499" s="18"/>
      <c r="I499" s="18"/>
      <c r="J499" s="18"/>
      <c r="K499" s="53">
        <f t="shared" si="35"/>
        <v>632021.92000000004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6072021.9199999999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6072021.9199999999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850000</v>
      </c>
      <c r="G501" s="204"/>
      <c r="H501" s="204"/>
      <c r="I501" s="204"/>
      <c r="J501" s="204"/>
      <c r="K501" s="205">
        <f t="shared" si="35"/>
        <v>850000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154162.51</v>
      </c>
      <c r="G502" s="18"/>
      <c r="H502" s="18"/>
      <c r="I502" s="18"/>
      <c r="J502" s="18"/>
      <c r="K502" s="53">
        <f t="shared" si="35"/>
        <v>154162.51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1004162.51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1004162.51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>
        <v>2331098.4700000002</v>
      </c>
      <c r="G507" s="144">
        <v>1962076.74</v>
      </c>
      <c r="H507" s="144">
        <v>-2331098.4700000002</v>
      </c>
      <c r="I507" s="144">
        <v>1962076.74</v>
      </c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1945932.47</v>
      </c>
      <c r="G521" s="18">
        <v>676368.63</v>
      </c>
      <c r="H521" s="18">
        <f>765109.83</f>
        <v>765109.83</v>
      </c>
      <c r="I521" s="18">
        <v>16741.7</v>
      </c>
      <c r="J521" s="18">
        <v>8393.8700000000008</v>
      </c>
      <c r="K521" s="18">
        <v>9459.7099999999991</v>
      </c>
      <c r="L521" s="88">
        <f>SUM(F521:K521)</f>
        <v>3422006.2100000004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1017755.24</v>
      </c>
      <c r="G522" s="18">
        <v>434693.37</v>
      </c>
      <c r="H522" s="18">
        <f>366744.26</f>
        <v>366744.26</v>
      </c>
      <c r="I522" s="18">
        <v>6074.88</v>
      </c>
      <c r="J522" s="18">
        <v>8049.56</v>
      </c>
      <c r="K522" s="18">
        <v>4190.88</v>
      </c>
      <c r="L522" s="88">
        <f>SUM(F522:K522)</f>
        <v>1837508.1899999997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1456257.62</v>
      </c>
      <c r="G523" s="18">
        <v>580174.61</v>
      </c>
      <c r="H523" s="18">
        <f>608091.93</f>
        <v>608091.93000000005</v>
      </c>
      <c r="I523" s="18">
        <v>6109.82</v>
      </c>
      <c r="J523" s="18">
        <v>3151.44</v>
      </c>
      <c r="K523" s="18">
        <v>6882.27</v>
      </c>
      <c r="L523" s="88">
        <f>SUM(F523:K523)</f>
        <v>2660667.69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4419945.33</v>
      </c>
      <c r="G524" s="108">
        <f t="shared" ref="G524:L524" si="36">SUM(G521:G523)</f>
        <v>1691236.6099999999</v>
      </c>
      <c r="H524" s="108">
        <f t="shared" si="36"/>
        <v>1739946.02</v>
      </c>
      <c r="I524" s="108">
        <f t="shared" si="36"/>
        <v>28926.400000000001</v>
      </c>
      <c r="J524" s="108">
        <f t="shared" si="36"/>
        <v>19594.87</v>
      </c>
      <c r="K524" s="108">
        <f t="shared" si="36"/>
        <v>20532.86</v>
      </c>
      <c r="L524" s="89">
        <f t="shared" si="36"/>
        <v>7920182.0899999999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122935.39+142360.33+71541.12+12261.44+43546.86</f>
        <v>392645.13999999996</v>
      </c>
      <c r="G526" s="18">
        <f>55388.62+81897.19+37319.25+2814.12+14758.27</f>
        <v>192177.44999999998</v>
      </c>
      <c r="H526" s="18">
        <f>7029.89+107136.22+58769.92+576.28</f>
        <v>173512.31</v>
      </c>
      <c r="I526" s="18">
        <f>5523.47+3283.55+2469.65</f>
        <v>11276.67</v>
      </c>
      <c r="J526" s="18"/>
      <c r="K526" s="18">
        <v>28.79</v>
      </c>
      <c r="L526" s="88">
        <f>SUM(F526:K526)</f>
        <v>769640.36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f>58515.1+67761.03+34052.32+5836.23+69819.93</f>
        <v>235984.61000000002</v>
      </c>
      <c r="G527" s="18">
        <f>26364.02+38981.63+17763.31+1339.47+61333.73</f>
        <v>145782.16</v>
      </c>
      <c r="H527" s="18">
        <f>3346.1+50994.97+27973.46+274.3</f>
        <v>82588.83</v>
      </c>
      <c r="I527" s="18">
        <f>2629.07+267.37</f>
        <v>2896.44</v>
      </c>
      <c r="J527" s="18"/>
      <c r="K527" s="18">
        <v>13.7</v>
      </c>
      <c r="L527" s="88">
        <f>SUM(F527:K527)</f>
        <v>467265.74000000005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f>96093.6+111277.29+55920.79+9584.27</f>
        <v>272875.95</v>
      </c>
      <c r="G528" s="18">
        <f>43295.03+64015.71+29170.94+2199.68</f>
        <v>138681.35999999999</v>
      </c>
      <c r="H528" s="18">
        <f>5494.98+83744.03+45938.06+450.45</f>
        <v>135627.52000000002</v>
      </c>
      <c r="I528" s="18">
        <f>4317.47+681.45</f>
        <v>4998.92</v>
      </c>
      <c r="J528" s="18"/>
      <c r="K528" s="18">
        <v>22.5</v>
      </c>
      <c r="L528" s="88">
        <f>SUM(F528:K528)</f>
        <v>552206.25000000012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901505.7</v>
      </c>
      <c r="G529" s="89">
        <f t="shared" ref="G529:L529" si="37">SUM(G526:G528)</f>
        <v>476640.97</v>
      </c>
      <c r="H529" s="89">
        <f t="shared" si="37"/>
        <v>391728.66000000003</v>
      </c>
      <c r="I529" s="89">
        <f t="shared" si="37"/>
        <v>19172.03</v>
      </c>
      <c r="J529" s="89">
        <f t="shared" si="37"/>
        <v>0</v>
      </c>
      <c r="K529" s="89">
        <f t="shared" si="37"/>
        <v>64.989999999999995</v>
      </c>
      <c r="L529" s="89">
        <f t="shared" si="37"/>
        <v>1789112.35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63588.47</v>
      </c>
      <c r="G531" s="18">
        <v>27041.87</v>
      </c>
      <c r="H531" s="18">
        <v>983.01</v>
      </c>
      <c r="I531" s="18">
        <v>1089.8</v>
      </c>
      <c r="J531" s="18"/>
      <c r="K531" s="18">
        <v>296.77</v>
      </c>
      <c r="L531" s="88">
        <f>SUM(F531:K531)</f>
        <v>92999.92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30267</v>
      </c>
      <c r="G532" s="18">
        <v>12871.46</v>
      </c>
      <c r="H532" s="18">
        <v>467.89</v>
      </c>
      <c r="I532" s="18">
        <v>518.72</v>
      </c>
      <c r="J532" s="18"/>
      <c r="K532" s="18">
        <v>141.26</v>
      </c>
      <c r="L532" s="88">
        <f>SUM(F532:K532)</f>
        <v>44266.33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49704.53</v>
      </c>
      <c r="G533" s="18">
        <v>21137.53</v>
      </c>
      <c r="H533" s="18">
        <v>768.38</v>
      </c>
      <c r="I533" s="18">
        <v>851.85</v>
      </c>
      <c r="J533" s="18"/>
      <c r="K533" s="18">
        <v>231.97</v>
      </c>
      <c r="L533" s="88">
        <f>SUM(F533:K533)</f>
        <v>72694.260000000009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143560</v>
      </c>
      <c r="G534" s="89">
        <f t="shared" ref="G534:L534" si="38">SUM(G531:G533)</f>
        <v>61050.86</v>
      </c>
      <c r="H534" s="89">
        <f t="shared" si="38"/>
        <v>2219.2800000000002</v>
      </c>
      <c r="I534" s="89">
        <f t="shared" si="38"/>
        <v>2460.37</v>
      </c>
      <c r="J534" s="89">
        <f t="shared" si="38"/>
        <v>0</v>
      </c>
      <c r="K534" s="89">
        <f t="shared" si="38"/>
        <v>670</v>
      </c>
      <c r="L534" s="89">
        <f t="shared" si="38"/>
        <v>209960.51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5464.51</v>
      </c>
      <c r="I536" s="18"/>
      <c r="J536" s="18"/>
      <c r="K536" s="18"/>
      <c r="L536" s="88">
        <f>SUM(F536:K536)</f>
        <v>5464.51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2601.0100000000002</v>
      </c>
      <c r="I537" s="18"/>
      <c r="J537" s="18"/>
      <c r="K537" s="18"/>
      <c r="L537" s="88">
        <f>SUM(F537:K537)</f>
        <v>2601.0100000000002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4271.3900000000003</v>
      </c>
      <c r="I538" s="18"/>
      <c r="J538" s="18"/>
      <c r="K538" s="18"/>
      <c r="L538" s="88">
        <f>SUM(F538:K538)</f>
        <v>4271.3900000000003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12336.91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12336.91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236620.38</v>
      </c>
      <c r="I541" s="18"/>
      <c r="J541" s="18"/>
      <c r="K541" s="18"/>
      <c r="L541" s="88">
        <f>SUM(F541:K541)</f>
        <v>236620.38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112627.17</v>
      </c>
      <c r="I542" s="18"/>
      <c r="J542" s="18"/>
      <c r="K542" s="18"/>
      <c r="L542" s="88">
        <f>SUM(F542:K542)</f>
        <v>112627.17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184956.55</v>
      </c>
      <c r="I543" s="18"/>
      <c r="J543" s="18"/>
      <c r="K543" s="18"/>
      <c r="L543" s="88">
        <f>SUM(F543:K543)</f>
        <v>184956.55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534204.1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534204.1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5465011.0300000003</v>
      </c>
      <c r="G545" s="89">
        <f t="shared" ref="G545:L545" si="41">G524+G529+G534+G539+G544</f>
        <v>2228928.44</v>
      </c>
      <c r="H545" s="89">
        <f t="shared" si="41"/>
        <v>2680434.9700000002</v>
      </c>
      <c r="I545" s="89">
        <f t="shared" si="41"/>
        <v>50558.8</v>
      </c>
      <c r="J545" s="89">
        <f t="shared" si="41"/>
        <v>19594.87</v>
      </c>
      <c r="K545" s="89">
        <f t="shared" si="41"/>
        <v>21267.850000000002</v>
      </c>
      <c r="L545" s="89">
        <f t="shared" si="41"/>
        <v>10465795.959999999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3422006.2100000004</v>
      </c>
      <c r="G549" s="87">
        <f>L526</f>
        <v>769640.36</v>
      </c>
      <c r="H549" s="87">
        <f>L531</f>
        <v>92999.92</v>
      </c>
      <c r="I549" s="87">
        <f>L536</f>
        <v>5464.51</v>
      </c>
      <c r="J549" s="87">
        <f>L541</f>
        <v>236620.38</v>
      </c>
      <c r="K549" s="87">
        <f>SUM(F549:J549)</f>
        <v>4526731.38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1837508.1899999997</v>
      </c>
      <c r="G550" s="87">
        <f>L527</f>
        <v>467265.74000000005</v>
      </c>
      <c r="H550" s="87">
        <f>L532</f>
        <v>44266.33</v>
      </c>
      <c r="I550" s="87">
        <f>L537</f>
        <v>2601.0100000000002</v>
      </c>
      <c r="J550" s="87">
        <f>L542</f>
        <v>112627.17</v>
      </c>
      <c r="K550" s="87">
        <f>SUM(F550:J550)</f>
        <v>2464268.4399999995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2660667.69</v>
      </c>
      <c r="G551" s="87">
        <f>L528</f>
        <v>552206.25000000012</v>
      </c>
      <c r="H551" s="87">
        <f>L533</f>
        <v>72694.260000000009</v>
      </c>
      <c r="I551" s="87">
        <f>L538</f>
        <v>4271.3900000000003</v>
      </c>
      <c r="J551" s="87">
        <f>L543</f>
        <v>184956.55</v>
      </c>
      <c r="K551" s="87">
        <f>SUM(F551:J551)</f>
        <v>3474796.14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7920182.0899999999</v>
      </c>
      <c r="G552" s="89">
        <f t="shared" si="42"/>
        <v>1789112.35</v>
      </c>
      <c r="H552" s="89">
        <f t="shared" si="42"/>
        <v>209960.51</v>
      </c>
      <c r="I552" s="89">
        <f t="shared" si="42"/>
        <v>12336.91</v>
      </c>
      <c r="J552" s="89">
        <f t="shared" si="42"/>
        <v>534204.1</v>
      </c>
      <c r="K552" s="89">
        <f t="shared" si="42"/>
        <v>10465795.959999999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f>28534.22+89724.96</f>
        <v>118259.18000000001</v>
      </c>
      <c r="G562" s="18">
        <f>6754.83+64198.98</f>
        <v>70953.81</v>
      </c>
      <c r="H562" s="18">
        <f>26.76</f>
        <v>26.76</v>
      </c>
      <c r="I562" s="18">
        <v>1772.51</v>
      </c>
      <c r="J562" s="18"/>
      <c r="K562" s="18"/>
      <c r="L562" s="88">
        <f>SUM(F562:K562)</f>
        <v>191012.26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f>13581.79+44968.68</f>
        <v>58550.47</v>
      </c>
      <c r="G563" s="18">
        <f>3215.18+10800.51</f>
        <v>14015.69</v>
      </c>
      <c r="H563" s="18">
        <v>12.74</v>
      </c>
      <c r="I563" s="18">
        <v>222.85</v>
      </c>
      <c r="J563" s="18"/>
      <c r="K563" s="18"/>
      <c r="L563" s="88">
        <f>SUM(F563:K563)</f>
        <v>72801.750000000015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f>22304.04</f>
        <v>22304.04</v>
      </c>
      <c r="G564" s="18">
        <v>5279.98</v>
      </c>
      <c r="H564" s="18">
        <v>20.92</v>
      </c>
      <c r="I564" s="18">
        <v>190.98</v>
      </c>
      <c r="J564" s="18"/>
      <c r="K564" s="18"/>
      <c r="L564" s="88">
        <f>SUM(F564:K564)</f>
        <v>27795.919999999998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199113.69000000003</v>
      </c>
      <c r="G565" s="89">
        <f t="shared" si="44"/>
        <v>90249.48</v>
      </c>
      <c r="H565" s="89">
        <f t="shared" si="44"/>
        <v>60.42</v>
      </c>
      <c r="I565" s="89">
        <f t="shared" si="44"/>
        <v>2186.3399999999997</v>
      </c>
      <c r="J565" s="89">
        <f t="shared" si="44"/>
        <v>0</v>
      </c>
      <c r="K565" s="89">
        <f t="shared" si="44"/>
        <v>0</v>
      </c>
      <c r="L565" s="89">
        <f t="shared" si="44"/>
        <v>291609.93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199113.69000000003</v>
      </c>
      <c r="G571" s="89">
        <f t="shared" ref="G571:L571" si="46">G560+G565+G570</f>
        <v>90249.48</v>
      </c>
      <c r="H571" s="89">
        <f t="shared" si="46"/>
        <v>60.42</v>
      </c>
      <c r="I571" s="89">
        <f t="shared" si="46"/>
        <v>2186.3399999999997</v>
      </c>
      <c r="J571" s="89">
        <f t="shared" si="46"/>
        <v>0</v>
      </c>
      <c r="K571" s="89">
        <f t="shared" si="46"/>
        <v>0</v>
      </c>
      <c r="L571" s="89">
        <f t="shared" si="46"/>
        <v>291609.93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39154.400000000001</v>
      </c>
      <c r="G579" s="18">
        <v>18636.810000000001</v>
      </c>
      <c r="H579" s="18">
        <v>30605.4</v>
      </c>
      <c r="I579" s="87">
        <f t="shared" si="47"/>
        <v>88396.610000000015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510212.27</v>
      </c>
      <c r="G582" s="18">
        <v>242852.13</v>
      </c>
      <c r="H582" s="18">
        <v>398812.21</v>
      </c>
      <c r="I582" s="87">
        <f t="shared" si="47"/>
        <v>1151876.6100000001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24000</v>
      </c>
      <c r="I584" s="87">
        <f t="shared" si="47"/>
        <v>24000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504235.11-2786</f>
        <v>501449.11</v>
      </c>
      <c r="I591" s="18">
        <v>269580.46000000002</v>
      </c>
      <c r="J591" s="18">
        <f>401349.95-662.06</f>
        <v>400687.89</v>
      </c>
      <c r="K591" s="104">
        <f t="shared" ref="K591:K597" si="48">SUM(H591:J591)</f>
        <v>1171717.46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236620.39</v>
      </c>
      <c r="I592" s="18">
        <v>112627.17</v>
      </c>
      <c r="J592" s="18">
        <v>184956.55</v>
      </c>
      <c r="K592" s="104">
        <f t="shared" si="48"/>
        <v>534204.11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10245.4</v>
      </c>
      <c r="K593" s="104">
        <f t="shared" si="48"/>
        <v>10245.4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7199.24</v>
      </c>
      <c r="J594" s="18">
        <v>56834.03</v>
      </c>
      <c r="K594" s="104">
        <f t="shared" si="48"/>
        <v>64033.27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2786</v>
      </c>
      <c r="I595" s="18"/>
      <c r="J595" s="18"/>
      <c r="K595" s="104">
        <f t="shared" si="48"/>
        <v>2786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>
        <v>662.06</v>
      </c>
      <c r="K596" s="104">
        <f t="shared" si="48"/>
        <v>662.06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740855.5</v>
      </c>
      <c r="I598" s="108">
        <f>SUM(I591:I597)</f>
        <v>389406.87</v>
      </c>
      <c r="J598" s="108">
        <f>SUM(J591:J597)</f>
        <v>653385.93000000005</v>
      </c>
      <c r="K598" s="108">
        <f>SUM(K591:K597)</f>
        <v>1783648.2999999998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152670.04+14733.5</f>
        <v>167403.54</v>
      </c>
      <c r="I604" s="18">
        <f>107002.8+5516.62</f>
        <v>112519.42</v>
      </c>
      <c r="J604" s="18">
        <f>113650.72+40135.63+783.27+3003.88+9824+978+2704.39</f>
        <v>171079.89</v>
      </c>
      <c r="K604" s="104">
        <f>SUM(H604:J604)</f>
        <v>451002.85000000003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167403.54</v>
      </c>
      <c r="I605" s="108">
        <f>SUM(I602:I604)</f>
        <v>112519.42</v>
      </c>
      <c r="J605" s="108">
        <f>SUM(J602:J604)</f>
        <v>171079.89</v>
      </c>
      <c r="K605" s="108">
        <f>SUM(K602:K604)</f>
        <v>451002.85000000003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83323.09</v>
      </c>
      <c r="G611" s="18">
        <v>11541.4</v>
      </c>
      <c r="H611" s="18"/>
      <c r="I611" s="18"/>
      <c r="J611" s="18"/>
      <c r="K611" s="18"/>
      <c r="L611" s="88">
        <f>SUM(F611:K611)</f>
        <v>94864.489999999991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39660.33</v>
      </c>
      <c r="G612" s="18">
        <v>5493.5</v>
      </c>
      <c r="H612" s="18"/>
      <c r="I612" s="18"/>
      <c r="J612" s="18"/>
      <c r="K612" s="18"/>
      <c r="L612" s="88">
        <f>SUM(F612:K612)</f>
        <v>45153.83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65130.27</v>
      </c>
      <c r="G613" s="18">
        <v>9021.44</v>
      </c>
      <c r="H613" s="18"/>
      <c r="I613" s="18"/>
      <c r="J613" s="18"/>
      <c r="K613" s="18"/>
      <c r="L613" s="88">
        <f>SUM(F613:K613)</f>
        <v>74151.709999999992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188113.69</v>
      </c>
      <c r="G614" s="108">
        <f t="shared" si="49"/>
        <v>26056.340000000004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214170.03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3150597.26</v>
      </c>
      <c r="H617" s="109">
        <f>SUM(F52)</f>
        <v>3150597.26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283044.66000000003</v>
      </c>
      <c r="H618" s="109">
        <f>SUM(G52)</f>
        <v>283044.66000000003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697791.02</v>
      </c>
      <c r="H619" s="109">
        <f>SUM(H52)</f>
        <v>697791.02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687772.46</v>
      </c>
      <c r="H621" s="109">
        <f>SUM(J52)</f>
        <v>687772.46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1312010.05</v>
      </c>
      <c r="H622" s="109">
        <f>F476</f>
        <v>1312010.0500000045</v>
      </c>
      <c r="I622" s="121" t="s">
        <v>101</v>
      </c>
      <c r="J622" s="109">
        <f t="shared" ref="J622:J655" si="50">G622-H622</f>
        <v>-4.4237822294235229E-9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252814.17</v>
      </c>
      <c r="H623" s="109">
        <f>G476</f>
        <v>252814.17000000016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305680.31000000006</v>
      </c>
      <c r="H624" s="109">
        <f>H476</f>
        <v>305680.30999999982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687772.46</v>
      </c>
      <c r="H626" s="109">
        <f>J476</f>
        <v>687772.46000000008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44072907.030000001</v>
      </c>
      <c r="H627" s="104">
        <f>SUM(F468)</f>
        <v>44072907.030000001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1173322.26</v>
      </c>
      <c r="H628" s="104">
        <f>SUM(G468)</f>
        <v>1173322.26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1817248.0699999998</v>
      </c>
      <c r="H629" s="104">
        <f>SUM(H468)</f>
        <v>1817248.0699999998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165121.03999999998</v>
      </c>
      <c r="H631" s="104">
        <f>SUM(J468)</f>
        <v>165121.03999999998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43561331.869999997</v>
      </c>
      <c r="H632" s="104">
        <f>SUM(F472)</f>
        <v>43561331.869999997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1776052.64</v>
      </c>
      <c r="H633" s="104">
        <f>SUM(H472)</f>
        <v>1776052.64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441396.57999999996</v>
      </c>
      <c r="H634" s="104">
        <f>I369</f>
        <v>441396.58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1151503.2200000002</v>
      </c>
      <c r="H635" s="104">
        <f>SUM(G472)</f>
        <v>1151503.22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165121.03999999998</v>
      </c>
      <c r="H637" s="164">
        <f>SUM(J468)</f>
        <v>165121.03999999998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161766.60999999999</v>
      </c>
      <c r="H638" s="164">
        <f>SUM(J472)</f>
        <v>161766.60999999999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443408.56</v>
      </c>
      <c r="H639" s="104">
        <f>SUM(F461)</f>
        <v>443408.56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243578.42</v>
      </c>
      <c r="H640" s="104">
        <f>SUM(G461)</f>
        <v>243578.41999999998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785.48</v>
      </c>
      <c r="H641" s="104">
        <f>SUM(H461)</f>
        <v>785.48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687772.46</v>
      </c>
      <c r="H642" s="104">
        <f>SUM(I461)</f>
        <v>687772.46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3354.43</v>
      </c>
      <c r="H644" s="104">
        <f>H408</f>
        <v>3354.43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165121.03999999998</v>
      </c>
      <c r="H646" s="104">
        <f>L408</f>
        <v>165121.03999999998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1783648.2999999998</v>
      </c>
      <c r="H647" s="104">
        <f>L208+L226+L244</f>
        <v>1783648.3000000003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451002.85000000003</v>
      </c>
      <c r="H648" s="104">
        <f>(J257+J338)-(J255+J336)</f>
        <v>451002.85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740855.5</v>
      </c>
      <c r="H649" s="104">
        <f>H598</f>
        <v>740855.5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389406.87</v>
      </c>
      <c r="H650" s="104">
        <f>I598</f>
        <v>389406.87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653385.93000000005</v>
      </c>
      <c r="H651" s="104">
        <f>J598</f>
        <v>653385.93000000005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18102262.949999999</v>
      </c>
      <c r="G660" s="19">
        <f>(L229+L309+L359)</f>
        <v>10289126.68</v>
      </c>
      <c r="H660" s="19">
        <f>(L247+L328+L360)</f>
        <v>16715395.319999998</v>
      </c>
      <c r="I660" s="19">
        <f>SUM(F660:H660)</f>
        <v>45106784.949999996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357387.04883352807</v>
      </c>
      <c r="G661" s="19">
        <f>(L359/IF(SUM(L358:L360)=0,1,SUM(L358:L360))*(SUM(G97:G110)))</f>
        <v>210860.40811618874</v>
      </c>
      <c r="H661" s="19">
        <f>(L360/IF(SUM(L358:L360)=0,1,SUM(L358:L360))*(SUM(G97:G110)))</f>
        <v>244069.45305028296</v>
      </c>
      <c r="I661" s="19">
        <f>SUM(F661:H661)</f>
        <v>812316.90999999968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740855.5</v>
      </c>
      <c r="G662" s="19">
        <f>(L226+L306)-(J226+J306)</f>
        <v>389406.87</v>
      </c>
      <c r="H662" s="19">
        <f>(L244+L325)-(J244+J325)</f>
        <v>653385.93000000005</v>
      </c>
      <c r="I662" s="19">
        <f>SUM(F662:H662)</f>
        <v>1783648.3000000003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811634.70000000007</v>
      </c>
      <c r="G663" s="199">
        <f>SUM(G575:G587)+SUM(I602:I604)+L612</f>
        <v>419162.19</v>
      </c>
      <c r="H663" s="199">
        <f>SUM(H575:H587)+SUM(J602:J604)+L613</f>
        <v>698649.21</v>
      </c>
      <c r="I663" s="19">
        <f>SUM(F663:H663)</f>
        <v>1929446.1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16192385.701166471</v>
      </c>
      <c r="G664" s="19">
        <f>G660-SUM(G661:G663)</f>
        <v>9269697.2118838113</v>
      </c>
      <c r="H664" s="19">
        <f>H660-SUM(H661:H663)</f>
        <v>15119290.726949716</v>
      </c>
      <c r="I664" s="19">
        <f>I660-SUM(I661:I663)</f>
        <v>40581373.639999993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f>1469.42</f>
        <v>1469.42</v>
      </c>
      <c r="G665" s="248">
        <v>913.12</v>
      </c>
      <c r="H665" s="248">
        <v>1369.82</v>
      </c>
      <c r="I665" s="19">
        <f>SUM(F665:H665)</f>
        <v>3752.3599999999997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11019.58</v>
      </c>
      <c r="G667" s="19">
        <f>ROUND(G664/G665,2)</f>
        <v>10151.67</v>
      </c>
      <c r="H667" s="19">
        <f>ROUND(H664/H665,2)</f>
        <v>11037.43</v>
      </c>
      <c r="I667" s="19">
        <f>ROUND(I664/I665,2)</f>
        <v>10814.89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15.26</v>
      </c>
      <c r="I670" s="19">
        <f>SUM(F670:H670)</f>
        <v>15.26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11019.58</v>
      </c>
      <c r="G672" s="19">
        <f>ROUND((G664+G669)/(G665+G670),2)</f>
        <v>10151.67</v>
      </c>
      <c r="H672" s="19">
        <f>ROUND((H664+H669)/(H665+H670),2)</f>
        <v>10915.82</v>
      </c>
      <c r="I672" s="19">
        <f>ROUND((I664+I669)/(I665+I670),2)</f>
        <v>10771.09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6"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HUDSON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11281312.48</v>
      </c>
      <c r="C9" s="229">
        <f>'DOE25'!G197+'DOE25'!G215+'DOE25'!G233+'DOE25'!G276+'DOE25'!G295+'DOE25'!G314</f>
        <v>5551891.959999999</v>
      </c>
    </row>
    <row r="10" spans="1:3" x14ac:dyDescent="0.2">
      <c r="A10" t="s">
        <v>779</v>
      </c>
      <c r="B10" s="240">
        <f>9322035.21+343822.09+135124</f>
        <v>9800981.3000000007</v>
      </c>
      <c r="C10" s="240">
        <f>(B10/$B$9)*$C$9</f>
        <v>4823373.9980208706</v>
      </c>
    </row>
    <row r="11" spans="1:3" x14ac:dyDescent="0.2">
      <c r="A11" t="s">
        <v>780</v>
      </c>
      <c r="B11" s="240">
        <f>253988.56+78296.12+59183.89</f>
        <v>391468.57</v>
      </c>
      <c r="C11" s="240">
        <f t="shared" ref="C11:C12" si="0">(B11/$B$9)*$C$9</f>
        <v>192654.10919418986</v>
      </c>
    </row>
    <row r="12" spans="1:3" x14ac:dyDescent="0.2">
      <c r="A12" t="s">
        <v>781</v>
      </c>
      <c r="B12" s="240">
        <f>787569.92+174479.93+126812.76</f>
        <v>1088862.6100000001</v>
      </c>
      <c r="C12" s="240">
        <f t="shared" si="0"/>
        <v>535863.85278493899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11281312.48</v>
      </c>
      <c r="C13" s="231">
        <f>SUM(C10:C12)</f>
        <v>5551891.96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4419945.33</v>
      </c>
      <c r="C18" s="229">
        <f>'DOE25'!G198+'DOE25'!G216+'DOE25'!G234+'DOE25'!G277+'DOE25'!G296+'DOE25'!G315</f>
        <v>1691236.6</v>
      </c>
    </row>
    <row r="19" spans="1:3" x14ac:dyDescent="0.2">
      <c r="A19" t="s">
        <v>779</v>
      </c>
      <c r="B19" s="240">
        <f>1235017.24+188113.69+198404.44+321977.02</f>
        <v>1943512.39</v>
      </c>
      <c r="C19" s="240">
        <f>(B19/$B$18)*$C$18</f>
        <v>743660.62046325672</v>
      </c>
    </row>
    <row r="20" spans="1:3" x14ac:dyDescent="0.2">
      <c r="A20" t="s">
        <v>780</v>
      </c>
      <c r="B20" s="240">
        <f>183397.99+14312.73+38854.68+1577163.21+11134.99+89696.55</f>
        <v>1914560.15</v>
      </c>
      <c r="C20" s="240">
        <f t="shared" ref="C20:C21" si="1">(B20/$B$18)*$C$18</f>
        <v>732582.40924475191</v>
      </c>
    </row>
    <row r="21" spans="1:3" x14ac:dyDescent="0.2">
      <c r="A21" t="s">
        <v>781</v>
      </c>
      <c r="B21" s="240">
        <f>217442.17+170108.61+173036.85+1285.16</f>
        <v>561872.79</v>
      </c>
      <c r="C21" s="240">
        <f t="shared" si="1"/>
        <v>214993.57029199137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4419945.33</v>
      </c>
      <c r="C22" s="231">
        <f>SUM(C19:C21)</f>
        <v>1691236.6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975841.33000000007</v>
      </c>
      <c r="C27" s="234">
        <f>'DOE25'!G199+'DOE25'!G217+'DOE25'!G235+'DOE25'!G278+'DOE25'!G297+'DOE25'!G316</f>
        <v>479721.88999999996</v>
      </c>
    </row>
    <row r="28" spans="1:3" x14ac:dyDescent="0.2">
      <c r="A28" t="s">
        <v>779</v>
      </c>
      <c r="B28" s="240">
        <f>45360.12+70351.92+43454.14+45269.9+39500.84+59088.9+42875.8+45584.07+74584.68+60949.98+59088.9+60000</f>
        <v>646109.25</v>
      </c>
      <c r="C28" s="240">
        <f>(B28/$B$27)*$C$27</f>
        <v>317626.17653884616</v>
      </c>
    </row>
    <row r="29" spans="1:3" x14ac:dyDescent="0.2">
      <c r="A29" t="s">
        <v>780</v>
      </c>
      <c r="B29" s="240">
        <f>7200+27681.99+27181.96</f>
        <v>62063.950000000004</v>
      </c>
      <c r="C29" s="240">
        <f t="shared" ref="C29:C30" si="2">(B29/$B$27)*$C$27</f>
        <v>30510.52920136668</v>
      </c>
    </row>
    <row r="30" spans="1:3" x14ac:dyDescent="0.2">
      <c r="A30" t="s">
        <v>781</v>
      </c>
      <c r="B30" s="240">
        <f>208655.05+37589.66+16848.42+4575</f>
        <v>267668.13</v>
      </c>
      <c r="C30" s="240">
        <f t="shared" si="2"/>
        <v>131585.18425978706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975841.33</v>
      </c>
      <c r="C31" s="231">
        <f>SUM(C28:C30)</f>
        <v>479721.8899999999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314859.45</v>
      </c>
      <c r="C36" s="235">
        <f>'DOE25'!G200+'DOE25'!G218+'DOE25'!G236+'DOE25'!G279+'DOE25'!G298+'DOE25'!G317</f>
        <v>54875.23</v>
      </c>
    </row>
    <row r="37" spans="1:3" x14ac:dyDescent="0.2">
      <c r="A37" t="s">
        <v>779</v>
      </c>
      <c r="B37" s="240">
        <v>314859.45</v>
      </c>
      <c r="C37" s="240">
        <f>54875.23</f>
        <v>54875.23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314859.45</v>
      </c>
      <c r="C40" s="231">
        <f>SUM(C37:C39)</f>
        <v>54875.23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8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HUDSON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26610711.039999999</v>
      </c>
      <c r="D5" s="20">
        <f>SUM('DOE25'!L197:L200)+SUM('DOE25'!L215:L218)+SUM('DOE25'!L233:L236)-F5-G5</f>
        <v>26312872.719999999</v>
      </c>
      <c r="E5" s="243"/>
      <c r="F5" s="255">
        <f>SUM('DOE25'!J197:J200)+SUM('DOE25'!J215:J218)+SUM('DOE25'!J233:J236)</f>
        <v>277691.59999999998</v>
      </c>
      <c r="G5" s="53">
        <f>SUM('DOE25'!K197:K200)+SUM('DOE25'!K215:K218)+SUM('DOE25'!K233:K236)</f>
        <v>20146.72</v>
      </c>
      <c r="H5" s="259"/>
    </row>
    <row r="6" spans="1:9" x14ac:dyDescent="0.2">
      <c r="A6" s="32">
        <v>2100</v>
      </c>
      <c r="B6" t="s">
        <v>801</v>
      </c>
      <c r="C6" s="245">
        <f t="shared" si="0"/>
        <v>3871612.31</v>
      </c>
      <c r="D6" s="20">
        <f>'DOE25'!L202+'DOE25'!L220+'DOE25'!L238-F6-G6</f>
        <v>3865827.0100000002</v>
      </c>
      <c r="E6" s="243"/>
      <c r="F6" s="255">
        <f>'DOE25'!J202+'DOE25'!J220+'DOE25'!J238</f>
        <v>5162.2800000000007</v>
      </c>
      <c r="G6" s="53">
        <f>'DOE25'!K202+'DOE25'!K220+'DOE25'!K238</f>
        <v>623.02</v>
      </c>
      <c r="H6" s="259"/>
    </row>
    <row r="7" spans="1:9" x14ac:dyDescent="0.2">
      <c r="A7" s="32">
        <v>2200</v>
      </c>
      <c r="B7" t="s">
        <v>834</v>
      </c>
      <c r="C7" s="245">
        <f t="shared" si="0"/>
        <v>1046405.3400000001</v>
      </c>
      <c r="D7" s="20">
        <f>'DOE25'!L203+'DOE25'!L221+'DOE25'!L239-F7-G7</f>
        <v>979318.27</v>
      </c>
      <c r="E7" s="243"/>
      <c r="F7" s="255">
        <f>'DOE25'!J203+'DOE25'!J221+'DOE25'!J239</f>
        <v>67087.070000000007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280209.98000000016</v>
      </c>
      <c r="D8" s="243"/>
      <c r="E8" s="20">
        <f>'DOE25'!L204+'DOE25'!L222+'DOE25'!L240-F8-G8-D9-D11</f>
        <v>265937.98000000016</v>
      </c>
      <c r="F8" s="255">
        <f>'DOE25'!J204+'DOE25'!J222+'DOE25'!J240</f>
        <v>1048.01</v>
      </c>
      <c r="G8" s="53">
        <f>'DOE25'!K204+'DOE25'!K222+'DOE25'!K240</f>
        <v>13223.99</v>
      </c>
      <c r="H8" s="259"/>
    </row>
    <row r="9" spans="1:9" x14ac:dyDescent="0.2">
      <c r="A9" s="32">
        <v>2310</v>
      </c>
      <c r="B9" t="s">
        <v>818</v>
      </c>
      <c r="C9" s="245">
        <f t="shared" si="0"/>
        <v>78523.22</v>
      </c>
      <c r="D9" s="244">
        <v>78523.22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27726</v>
      </c>
      <c r="D10" s="243"/>
      <c r="E10" s="244">
        <v>27726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458095.41</v>
      </c>
      <c r="D11" s="244">
        <v>458095.41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2766358.55</v>
      </c>
      <c r="D12" s="20">
        <f>'DOE25'!L205+'DOE25'!L223+'DOE25'!L241-F12-G12</f>
        <v>2748299.5</v>
      </c>
      <c r="E12" s="243"/>
      <c r="F12" s="255">
        <f>'DOE25'!J205+'DOE25'!J223+'DOE25'!J241</f>
        <v>1425</v>
      </c>
      <c r="G12" s="53">
        <f>'DOE25'!K205+'DOE25'!K223+'DOE25'!K241</f>
        <v>16634.05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773668.73</v>
      </c>
      <c r="D13" s="243"/>
      <c r="E13" s="20">
        <f>'DOE25'!L206+'DOE25'!L224+'DOE25'!L242-F13-G13</f>
        <v>770127.32</v>
      </c>
      <c r="F13" s="255">
        <f>'DOE25'!J206+'DOE25'!J224+'DOE25'!J242</f>
        <v>0</v>
      </c>
      <c r="G13" s="53">
        <f>'DOE25'!K206+'DOE25'!K224+'DOE25'!K242</f>
        <v>3541.41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4568241.96</v>
      </c>
      <c r="D14" s="20">
        <f>'DOE25'!L207+'DOE25'!L225+'DOE25'!L243-F14-G14</f>
        <v>4547332.38</v>
      </c>
      <c r="E14" s="243"/>
      <c r="F14" s="255">
        <f>'DOE25'!J207+'DOE25'!J225+'DOE25'!J243</f>
        <v>20909.580000000002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1783648.3000000003</v>
      </c>
      <c r="D15" s="20">
        <f>'DOE25'!L208+'DOE25'!L226+'DOE25'!L244-F15-G15</f>
        <v>1783648.3000000003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1323857.03</v>
      </c>
      <c r="D25" s="243"/>
      <c r="E25" s="243"/>
      <c r="F25" s="258"/>
      <c r="G25" s="256"/>
      <c r="H25" s="257">
        <f>'DOE25'!L260+'DOE25'!L261+'DOE25'!L341+'DOE25'!L342</f>
        <v>1323857.03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747442.85000000021</v>
      </c>
      <c r="D29" s="20">
        <f>'DOE25'!L358+'DOE25'!L359+'DOE25'!L360-'DOE25'!I367-F29-G29</f>
        <v>710303.05000000028</v>
      </c>
      <c r="E29" s="243"/>
      <c r="F29" s="255">
        <f>'DOE25'!J358+'DOE25'!J359+'DOE25'!J360</f>
        <v>30811.35</v>
      </c>
      <c r="G29" s="53">
        <f>'DOE25'!K358+'DOE25'!K359+'DOE25'!K360</f>
        <v>6328.45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1776052.64</v>
      </c>
      <c r="D31" s="20">
        <f>'DOE25'!L290+'DOE25'!L309+'DOE25'!L328+'DOE25'!L333+'DOE25'!L334+'DOE25'!L335-F31-G31</f>
        <v>1650526.92</v>
      </c>
      <c r="E31" s="243"/>
      <c r="F31" s="255">
        <f>'DOE25'!J290+'DOE25'!J309+'DOE25'!J328+'DOE25'!J333+'DOE25'!J334+'DOE25'!J335</f>
        <v>77679.31</v>
      </c>
      <c r="G31" s="53">
        <f>'DOE25'!K290+'DOE25'!K309+'DOE25'!K328+'DOE25'!K333+'DOE25'!K334+'DOE25'!K335</f>
        <v>47846.41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43134746.779999994</v>
      </c>
      <c r="E33" s="246">
        <f>SUM(E5:E31)</f>
        <v>1063791.3</v>
      </c>
      <c r="F33" s="246">
        <f>SUM(F5:F31)</f>
        <v>481814.2</v>
      </c>
      <c r="G33" s="246">
        <f>SUM(G5:G31)</f>
        <v>108344.05</v>
      </c>
      <c r="H33" s="246">
        <f>SUM(H5:H31)</f>
        <v>1323857.03</v>
      </c>
    </row>
    <row r="35" spans="2:8" ht="12" thickBot="1" x14ac:dyDescent="0.25">
      <c r="B35" s="253" t="s">
        <v>847</v>
      </c>
      <c r="D35" s="254">
        <f>E33</f>
        <v>1063791.3</v>
      </c>
      <c r="E35" s="249"/>
    </row>
    <row r="36" spans="2:8" ht="12" thickTop="1" x14ac:dyDescent="0.2">
      <c r="B36" t="s">
        <v>815</v>
      </c>
      <c r="D36" s="20">
        <f>D33</f>
        <v>43134746.779999994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22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HUDSON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2402964.2599999998</v>
      </c>
      <c r="D8" s="95">
        <f>'DOE25'!G9</f>
        <v>250782.23</v>
      </c>
      <c r="E8" s="95">
        <f>'DOE25'!H9</f>
        <v>311636</v>
      </c>
      <c r="F8" s="95">
        <f>'DOE25'!I9</f>
        <v>0</v>
      </c>
      <c r="G8" s="95">
        <f>'DOE25'!J9</f>
        <v>685092.73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383960.39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349785.92</v>
      </c>
      <c r="D12" s="95">
        <f>'DOE25'!G13</f>
        <v>32262.43</v>
      </c>
      <c r="E12" s="95">
        <f>'DOE25'!H13</f>
        <v>386155.02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13886.69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2679.73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3150597.26</v>
      </c>
      <c r="D18" s="41">
        <f>SUM(D8:D17)</f>
        <v>283044.66000000003</v>
      </c>
      <c r="E18" s="41">
        <f>SUM(E8:E17)</f>
        <v>697791.02</v>
      </c>
      <c r="F18" s="41">
        <f>SUM(F8:F17)</f>
        <v>0</v>
      </c>
      <c r="G18" s="41">
        <f>SUM(G8:G17)</f>
        <v>687772.46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382675.59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41137.72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328252.34999999998</v>
      </c>
      <c r="D23" s="95">
        <f>'DOE25'!G24</f>
        <v>836.77</v>
      </c>
      <c r="E23" s="95">
        <f>'DOE25'!H24</f>
        <v>4347.87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-110243.86</v>
      </c>
      <c r="D27" s="95">
        <f>'DOE25'!G28</f>
        <v>4070.25</v>
      </c>
      <c r="E27" s="95">
        <f>'DOE25'!H28</f>
        <v>1920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1568641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10800</v>
      </c>
      <c r="D29" s="95">
        <f>'DOE25'!G30</f>
        <v>25323.47</v>
      </c>
      <c r="E29" s="95">
        <f>'DOE25'!H30</f>
        <v>3167.25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1838587.21</v>
      </c>
      <c r="D31" s="41">
        <f>SUM(D21:D30)</f>
        <v>30230.49</v>
      </c>
      <c r="E31" s="41">
        <f>SUM(E21:E30)</f>
        <v>392110.71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124453.95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252814.17</v>
      </c>
      <c r="E47" s="95">
        <f>'DOE25'!H48</f>
        <v>305680.31000000006</v>
      </c>
      <c r="F47" s="95">
        <f>'DOE25'!I48</f>
        <v>0</v>
      </c>
      <c r="G47" s="95">
        <f>'DOE25'!J48</f>
        <v>687772.46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174356.64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963199.46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1312010.05</v>
      </c>
      <c r="D50" s="41">
        <f>SUM(D34:D49)</f>
        <v>252814.17</v>
      </c>
      <c r="E50" s="41">
        <f>SUM(E34:E49)</f>
        <v>305680.31000000006</v>
      </c>
      <c r="F50" s="41">
        <f>SUM(F34:F49)</f>
        <v>0</v>
      </c>
      <c r="G50" s="41">
        <f>SUM(G34:G49)</f>
        <v>687772.46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3150597.26</v>
      </c>
      <c r="D51" s="41">
        <f>D50+D31</f>
        <v>283044.66000000003</v>
      </c>
      <c r="E51" s="41">
        <f>E50+E31</f>
        <v>697791.02</v>
      </c>
      <c r="F51" s="41">
        <f>F50+F31</f>
        <v>0</v>
      </c>
      <c r="G51" s="41">
        <f>G50+G31</f>
        <v>687772.46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26543140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179774.56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6194.19</v>
      </c>
      <c r="D59" s="95">
        <f>'DOE25'!G96</f>
        <v>488.79</v>
      </c>
      <c r="E59" s="95">
        <f>'DOE25'!H96</f>
        <v>528.87</v>
      </c>
      <c r="F59" s="95">
        <f>'DOE25'!I96</f>
        <v>0</v>
      </c>
      <c r="G59" s="95">
        <f>'DOE25'!J96</f>
        <v>3354.43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790499.57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603110.73</v>
      </c>
      <c r="D61" s="95">
        <f>SUM('DOE25'!G98:G110)</f>
        <v>21817.34</v>
      </c>
      <c r="E61" s="95">
        <f>SUM('DOE25'!H98:H110)</f>
        <v>226540.55</v>
      </c>
      <c r="F61" s="95">
        <f>SUM('DOE25'!I98:I110)</f>
        <v>0</v>
      </c>
      <c r="G61" s="95">
        <f>SUM('DOE25'!J98:J110)</f>
        <v>161766.60999999999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789079.48</v>
      </c>
      <c r="D62" s="130">
        <f>SUM(D57:D61)</f>
        <v>812805.7</v>
      </c>
      <c r="E62" s="130">
        <f>SUM(E57:E61)</f>
        <v>227069.41999999998</v>
      </c>
      <c r="F62" s="130">
        <f>SUM(F57:F61)</f>
        <v>0</v>
      </c>
      <c r="G62" s="130">
        <f>SUM(G57:G61)</f>
        <v>165121.03999999998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27332219.48</v>
      </c>
      <c r="D63" s="22">
        <f>D56+D62</f>
        <v>812805.7</v>
      </c>
      <c r="E63" s="22">
        <f>E56+E62</f>
        <v>227069.41999999998</v>
      </c>
      <c r="F63" s="22">
        <f>F56+F62</f>
        <v>0</v>
      </c>
      <c r="G63" s="22">
        <f>G56+G62</f>
        <v>165121.03999999998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9327818.2300000004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6117818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15445636.23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378559.36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230708.84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265189.37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18233.28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874457.57</v>
      </c>
      <c r="D78" s="130">
        <f>SUM(D72:D77)</f>
        <v>18233.28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16320093.800000001</v>
      </c>
      <c r="D81" s="130">
        <f>SUM(D79:D80)+D78+D70</f>
        <v>18233.28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380694.54</v>
      </c>
      <c r="D88" s="95">
        <f>SUM('DOE25'!G153:G161)</f>
        <v>342283.28</v>
      </c>
      <c r="E88" s="95">
        <f>SUM('DOE25'!H153:H161)</f>
        <v>1590178.65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380694.54</v>
      </c>
      <c r="D91" s="131">
        <f>SUM(D85:D90)</f>
        <v>342283.28</v>
      </c>
      <c r="E91" s="131">
        <f>SUM(E85:E90)</f>
        <v>1590178.65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39899.21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39899.21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44072907.030000001</v>
      </c>
      <c r="D104" s="86">
        <f>D63+D81+D91+D103</f>
        <v>1173322.26</v>
      </c>
      <c r="E104" s="86">
        <f>E63+E81+E91+E103</f>
        <v>1817248.0699999998</v>
      </c>
      <c r="F104" s="86">
        <f>F63+F81+F91+F103</f>
        <v>0</v>
      </c>
      <c r="G104" s="86">
        <f>G63+G81+G103</f>
        <v>165121.03999999998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17400189.560000002</v>
      </c>
      <c r="D109" s="24" t="s">
        <v>289</v>
      </c>
      <c r="E109" s="95">
        <f>('DOE25'!L276)+('DOE25'!L295)+('DOE25'!L314)</f>
        <v>509063.64999999997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7141290.4900000002</v>
      </c>
      <c r="D110" s="24" t="s">
        <v>289</v>
      </c>
      <c r="E110" s="95">
        <f>('DOE25'!L277)+('DOE25'!L296)+('DOE25'!L315)</f>
        <v>791228.52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1541261.84</v>
      </c>
      <c r="D111" s="24" t="s">
        <v>289</v>
      </c>
      <c r="E111" s="95">
        <f>('DOE25'!L278)+('DOE25'!L297)+('DOE25'!L316)</f>
        <v>327858.59000000003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527969.15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58245.750000000007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26610711.040000003</v>
      </c>
      <c r="D115" s="86">
        <f>SUM(D109:D114)</f>
        <v>0</v>
      </c>
      <c r="E115" s="86">
        <f>SUM(E109:E114)</f>
        <v>1686396.51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3871612.31</v>
      </c>
      <c r="D118" s="24" t="s">
        <v>289</v>
      </c>
      <c r="E118" s="95">
        <f>+('DOE25'!L281)+('DOE25'!L300)+('DOE25'!L319)</f>
        <v>13922.880000000001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1046405.3400000001</v>
      </c>
      <c r="D119" s="24" t="s">
        <v>289</v>
      </c>
      <c r="E119" s="95">
        <f>+('DOE25'!L282)+('DOE25'!L301)+('DOE25'!L320)</f>
        <v>75733.25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816828.6100000001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2766358.55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773668.73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4568241.96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1783648.3000000003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1151503.2200000002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15626763.800000001</v>
      </c>
      <c r="D128" s="86">
        <f>SUM(D118:D127)</f>
        <v>1151503.2200000002</v>
      </c>
      <c r="E128" s="86">
        <f>SUM(E118:E127)</f>
        <v>89656.13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1093925.47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229931.56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8003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164490.63999999998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630.40000000000009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-165121.03999999998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1323857.0299999998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8003</v>
      </c>
    </row>
    <row r="145" spans="1:9" ht="12.75" thickTop="1" thickBot="1" x14ac:dyDescent="0.25">
      <c r="A145" s="33" t="s">
        <v>244</v>
      </c>
      <c r="C145" s="86">
        <f>(C115+C128+C144)</f>
        <v>43561331.870000005</v>
      </c>
      <c r="D145" s="86">
        <f>(D115+D128+D144)</f>
        <v>1151503.2200000002</v>
      </c>
      <c r="E145" s="86">
        <f>(E115+E128+E144)</f>
        <v>1776052.6400000001</v>
      </c>
      <c r="F145" s="86">
        <f>(F115+F128+F144)</f>
        <v>0</v>
      </c>
      <c r="G145" s="86">
        <f>(G115+G128+G144)</f>
        <v>8003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12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08/10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06/21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8220000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2.7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6310000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6310000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870000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870000</v>
      </c>
    </row>
    <row r="159" spans="1:9" x14ac:dyDescent="0.2">
      <c r="A159" s="22" t="s">
        <v>35</v>
      </c>
      <c r="B159" s="137">
        <f>'DOE25'!F498</f>
        <v>5440000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5440000</v>
      </c>
    </row>
    <row r="160" spans="1:9" x14ac:dyDescent="0.2">
      <c r="A160" s="22" t="s">
        <v>36</v>
      </c>
      <c r="B160" s="137">
        <f>'DOE25'!F499</f>
        <v>632021.92000000004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632021.92000000004</v>
      </c>
    </row>
    <row r="161" spans="1:7" x14ac:dyDescent="0.2">
      <c r="A161" s="22" t="s">
        <v>37</v>
      </c>
      <c r="B161" s="137">
        <f>'DOE25'!F500</f>
        <v>6072021.9199999999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6072021.9199999999</v>
      </c>
    </row>
    <row r="162" spans="1:7" x14ac:dyDescent="0.2">
      <c r="A162" s="22" t="s">
        <v>38</v>
      </c>
      <c r="B162" s="137">
        <f>'DOE25'!F501</f>
        <v>850000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850000</v>
      </c>
    </row>
    <row r="163" spans="1:7" x14ac:dyDescent="0.2">
      <c r="A163" s="22" t="s">
        <v>39</v>
      </c>
      <c r="B163" s="137">
        <f>'DOE25'!F502</f>
        <v>154162.51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154162.51</v>
      </c>
    </row>
    <row r="164" spans="1:7" x14ac:dyDescent="0.2">
      <c r="A164" s="22" t="s">
        <v>246</v>
      </c>
      <c r="B164" s="137">
        <f>'DOE25'!F503</f>
        <v>1004162.51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1004162.51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7"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HUDSON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11020</v>
      </c>
    </row>
    <row r="5" spans="1:4" x14ac:dyDescent="0.2">
      <c r="B5" t="s">
        <v>704</v>
      </c>
      <c r="C5" s="179">
        <f>IF('DOE25'!G665+'DOE25'!G670=0,0,ROUND('DOE25'!G672,0))</f>
        <v>10152</v>
      </c>
    </row>
    <row r="6" spans="1:4" x14ac:dyDescent="0.2">
      <c r="B6" t="s">
        <v>62</v>
      </c>
      <c r="C6" s="179">
        <f>IF('DOE25'!H665+'DOE25'!H670=0,0,ROUND('DOE25'!H672,0))</f>
        <v>10916</v>
      </c>
    </row>
    <row r="7" spans="1:4" x14ac:dyDescent="0.2">
      <c r="B7" t="s">
        <v>705</v>
      </c>
      <c r="C7" s="179">
        <f>IF('DOE25'!I665+'DOE25'!I670=0,0,ROUND('DOE25'!I672,0))</f>
        <v>10771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17909253</v>
      </c>
      <c r="D10" s="182">
        <f>ROUND((C10/$C$28)*100,1)</f>
        <v>40.200000000000003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7932519</v>
      </c>
      <c r="D11" s="182">
        <f>ROUND((C11/$C$28)*100,1)</f>
        <v>17.8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1869120</v>
      </c>
      <c r="D12" s="182">
        <f>ROUND((C12/$C$28)*100,1)</f>
        <v>4.2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527969</v>
      </c>
      <c r="D13" s="182">
        <f>ROUND((C13/$C$28)*100,1)</f>
        <v>1.2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3885535</v>
      </c>
      <c r="D15" s="182">
        <f t="shared" ref="D15:D27" si="0">ROUND((C15/$C$28)*100,1)</f>
        <v>8.6999999999999993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1122139</v>
      </c>
      <c r="D16" s="182">
        <f t="shared" si="0"/>
        <v>2.5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816829</v>
      </c>
      <c r="D17" s="182">
        <f t="shared" si="0"/>
        <v>1.8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2766359</v>
      </c>
      <c r="D18" s="182">
        <f t="shared" si="0"/>
        <v>6.2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773669</v>
      </c>
      <c r="D19" s="182">
        <f t="shared" si="0"/>
        <v>1.7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4568242</v>
      </c>
      <c r="D20" s="182">
        <f t="shared" si="0"/>
        <v>10.199999999999999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1783648</v>
      </c>
      <c r="D21" s="182">
        <f t="shared" si="0"/>
        <v>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58246</v>
      </c>
      <c r="D24" s="182">
        <f t="shared" si="0"/>
        <v>0.1</v>
      </c>
    </row>
    <row r="25" spans="1:4" x14ac:dyDescent="0.2">
      <c r="A25">
        <v>5120</v>
      </c>
      <c r="B25" t="s">
        <v>720</v>
      </c>
      <c r="C25" s="179">
        <f>ROUND('DOE25'!L261+'DOE25'!L342,0)</f>
        <v>229932</v>
      </c>
      <c r="D25" s="182">
        <f t="shared" si="0"/>
        <v>0.5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339186.09000000008</v>
      </c>
      <c r="D27" s="182">
        <f t="shared" si="0"/>
        <v>0.8</v>
      </c>
    </row>
    <row r="28" spans="1:4" x14ac:dyDescent="0.2">
      <c r="B28" s="187" t="s">
        <v>723</v>
      </c>
      <c r="C28" s="180">
        <f>SUM(C10:C27)</f>
        <v>44582646.090000004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44582646.090000004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1093925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26543140</v>
      </c>
      <c r="D35" s="182">
        <f t="shared" ref="D35:D40" si="1">ROUND((C35/$C$41)*100,1)</f>
        <v>57.2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1181758.7299999967</v>
      </c>
      <c r="D36" s="182">
        <f t="shared" si="1"/>
        <v>2.5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15445636</v>
      </c>
      <c r="D37" s="182">
        <f t="shared" si="1"/>
        <v>33.299999999999997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892691</v>
      </c>
      <c r="D38" s="182">
        <f t="shared" si="1"/>
        <v>1.9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2313156</v>
      </c>
      <c r="D39" s="182">
        <f t="shared" si="1"/>
        <v>5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46376381.729999997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HUDSON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2014-09-09T13:32:38Z</cp:lastPrinted>
  <dcterms:created xsi:type="dcterms:W3CDTF">1997-12-04T19:04:30Z</dcterms:created>
  <dcterms:modified xsi:type="dcterms:W3CDTF">2014-12-05T16:12:44Z</dcterms:modified>
</cp:coreProperties>
</file>