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8" i="12" l="1"/>
  <c r="C37" i="12"/>
  <c r="B39" i="12"/>
  <c r="B37" i="12"/>
  <c r="C21" i="12"/>
  <c r="C10" i="12"/>
  <c r="F665" i="1" l="1"/>
  <c r="G611" i="1" l="1"/>
  <c r="F611" i="1"/>
  <c r="H564" i="1"/>
  <c r="H562" i="1"/>
  <c r="G564" i="1"/>
  <c r="G562" i="1"/>
  <c r="J604" i="1"/>
  <c r="H604" i="1"/>
  <c r="H367" i="1"/>
  <c r="F367" i="1"/>
  <c r="K360" i="1"/>
  <c r="K358" i="1"/>
  <c r="J360" i="1"/>
  <c r="J358" i="1"/>
  <c r="I360" i="1"/>
  <c r="I358" i="1"/>
  <c r="H360" i="1"/>
  <c r="H358" i="1"/>
  <c r="H396" i="1" l="1"/>
  <c r="J96" i="1"/>
  <c r="J468" i="1"/>
  <c r="G439" i="1"/>
  <c r="F29" i="1" l="1"/>
  <c r="F9" i="1"/>
  <c r="H154" i="1"/>
  <c r="H102" i="1"/>
  <c r="H155" i="1"/>
  <c r="G97" i="1"/>
  <c r="F101" i="1"/>
  <c r="J597" i="1" l="1"/>
  <c r="J591" i="1"/>
  <c r="H591" i="1"/>
  <c r="H597" i="1"/>
  <c r="H595" i="1"/>
  <c r="H592" i="1"/>
  <c r="H472" i="1"/>
  <c r="H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E13" i="13" s="1"/>
  <c r="C13" i="13" s="1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D6" i="13" s="1"/>
  <c r="C6" i="13" s="1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D14" i="13" s="1"/>
  <c r="C14" i="13" s="1"/>
  <c r="L225" i="1"/>
  <c r="L243" i="1"/>
  <c r="F15" i="13"/>
  <c r="G15" i="13"/>
  <c r="D15" i="13" s="1"/>
  <c r="C15" i="13" s="1"/>
  <c r="L208" i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C12" i="10" s="1"/>
  <c r="L317" i="1"/>
  <c r="E112" i="2" s="1"/>
  <c r="L319" i="1"/>
  <c r="L328" i="1" s="1"/>
  <c r="L320" i="1"/>
  <c r="L321" i="1"/>
  <c r="L322" i="1"/>
  <c r="L323" i="1"/>
  <c r="C19" i="10" s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5" i="10"/>
  <c r="C17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F662" i="1"/>
  <c r="G662" i="1"/>
  <c r="H662" i="1"/>
  <c r="I662" i="1" s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E115" i="2" s="1"/>
  <c r="C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3" i="2"/>
  <c r="C124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F290" i="1"/>
  <c r="G290" i="1"/>
  <c r="H290" i="1"/>
  <c r="I290" i="1"/>
  <c r="F309" i="1"/>
  <c r="G309" i="1"/>
  <c r="H309" i="1"/>
  <c r="I309" i="1"/>
  <c r="F328" i="1"/>
  <c r="G328" i="1"/>
  <c r="H328" i="1"/>
  <c r="H338" i="1" s="1"/>
  <c r="H352" i="1" s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J644" i="1" s="1"/>
  <c r="I401" i="1"/>
  <c r="F407" i="1"/>
  <c r="G407" i="1"/>
  <c r="H407" i="1"/>
  <c r="I407" i="1"/>
  <c r="F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H642" i="1" s="1"/>
  <c r="F470" i="1"/>
  <c r="G470" i="1"/>
  <c r="H470" i="1"/>
  <c r="I470" i="1"/>
  <c r="J470" i="1"/>
  <c r="J476" i="1" s="1"/>
  <c r="H626" i="1" s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H643" i="1"/>
  <c r="G644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G164" i="2"/>
  <c r="C18" i="2"/>
  <c r="C26" i="10"/>
  <c r="L351" i="1"/>
  <c r="L290" i="1"/>
  <c r="C70" i="2"/>
  <c r="A40" i="12"/>
  <c r="D12" i="13"/>
  <c r="C12" i="13" s="1"/>
  <c r="D18" i="13"/>
  <c r="C18" i="13" s="1"/>
  <c r="D18" i="2"/>
  <c r="D17" i="13"/>
  <c r="C17" i="13" s="1"/>
  <c r="E8" i="13"/>
  <c r="C8" i="13" s="1"/>
  <c r="C91" i="2"/>
  <c r="F78" i="2"/>
  <c r="F81" i="2" s="1"/>
  <c r="D31" i="2"/>
  <c r="D50" i="2"/>
  <c r="G157" i="2"/>
  <c r="F18" i="2"/>
  <c r="G161" i="2"/>
  <c r="G156" i="2"/>
  <c r="E103" i="2"/>
  <c r="D91" i="2"/>
  <c r="E62" i="2"/>
  <c r="E63" i="2" s="1"/>
  <c r="E31" i="2"/>
  <c r="G62" i="2"/>
  <c r="D19" i="13"/>
  <c r="C19" i="13" s="1"/>
  <c r="E78" i="2"/>
  <c r="E81" i="2" s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3" i="1"/>
  <c r="H476" i="1"/>
  <c r="H624" i="1" s="1"/>
  <c r="I476" i="1"/>
  <c r="H625" i="1" s="1"/>
  <c r="G476" i="1"/>
  <c r="H623" i="1" s="1"/>
  <c r="J623" i="1" s="1"/>
  <c r="G338" i="1"/>
  <c r="G352" i="1" s="1"/>
  <c r="F169" i="1"/>
  <c r="J140" i="1"/>
  <c r="F571" i="1"/>
  <c r="H257" i="1"/>
  <c r="H271" i="1" s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H571" i="1"/>
  <c r="J545" i="1"/>
  <c r="F338" i="1"/>
  <c r="F352" i="1" s="1"/>
  <c r="G192" i="1"/>
  <c r="H192" i="1"/>
  <c r="F552" i="1"/>
  <c r="C35" i="10"/>
  <c r="L309" i="1"/>
  <c r="L570" i="1"/>
  <c r="I571" i="1"/>
  <c r="J636" i="1"/>
  <c r="G36" i="2"/>
  <c r="L565" i="1"/>
  <c r="K551" i="1"/>
  <c r="C22" i="13"/>
  <c r="C138" i="2"/>
  <c r="H33" i="13"/>
  <c r="J634" i="1" l="1"/>
  <c r="H661" i="1"/>
  <c r="D29" i="13"/>
  <c r="C29" i="13" s="1"/>
  <c r="D127" i="2"/>
  <c r="D128" i="2" s="1"/>
  <c r="D145" i="2" s="1"/>
  <c r="G661" i="1"/>
  <c r="F661" i="1"/>
  <c r="L362" i="1"/>
  <c r="C27" i="10" s="1"/>
  <c r="E122" i="2"/>
  <c r="E128" i="2" s="1"/>
  <c r="E145" i="2" s="1"/>
  <c r="J338" i="1"/>
  <c r="J352" i="1" s="1"/>
  <c r="C16" i="10"/>
  <c r="K338" i="1"/>
  <c r="K352" i="1" s="1"/>
  <c r="C18" i="10"/>
  <c r="C13" i="10"/>
  <c r="I446" i="1"/>
  <c r="G642" i="1" s="1"/>
  <c r="J640" i="1"/>
  <c r="J624" i="1"/>
  <c r="H52" i="1"/>
  <c r="H619" i="1" s="1"/>
  <c r="J625" i="1"/>
  <c r="I52" i="1"/>
  <c r="H620" i="1" s="1"/>
  <c r="J620" i="1" s="1"/>
  <c r="J617" i="1"/>
  <c r="G645" i="1"/>
  <c r="J645" i="1" s="1"/>
  <c r="C78" i="2"/>
  <c r="C62" i="2"/>
  <c r="C81" i="2"/>
  <c r="C63" i="2"/>
  <c r="J651" i="1"/>
  <c r="K598" i="1"/>
  <c r="G647" i="1" s="1"/>
  <c r="J647" i="1" s="1"/>
  <c r="J649" i="1"/>
  <c r="H545" i="1"/>
  <c r="L545" i="1"/>
  <c r="G545" i="1"/>
  <c r="I545" i="1"/>
  <c r="K552" i="1"/>
  <c r="K271" i="1"/>
  <c r="F476" i="1"/>
  <c r="H622" i="1" s="1"/>
  <c r="J622" i="1" s="1"/>
  <c r="L211" i="1"/>
  <c r="C123" i="2"/>
  <c r="C128" i="2" s="1"/>
  <c r="C20" i="10"/>
  <c r="F660" i="1"/>
  <c r="F664" i="1" s="1"/>
  <c r="L247" i="1"/>
  <c r="E33" i="13"/>
  <c r="D35" i="13" s="1"/>
  <c r="D5" i="13"/>
  <c r="C5" i="13" s="1"/>
  <c r="H660" i="1"/>
  <c r="H664" i="1" s="1"/>
  <c r="H667" i="1" s="1"/>
  <c r="C110" i="2"/>
  <c r="C115" i="2" s="1"/>
  <c r="C11" i="10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19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J642" i="1"/>
  <c r="G571" i="1"/>
  <c r="I434" i="1"/>
  <c r="G434" i="1"/>
  <c r="E104" i="2"/>
  <c r="I663" i="1"/>
  <c r="I661" i="1" l="1"/>
  <c r="G635" i="1"/>
  <c r="J635" i="1" s="1"/>
  <c r="C28" i="10"/>
  <c r="D31" i="13"/>
  <c r="C31" i="13" s="1"/>
  <c r="H646" i="1"/>
  <c r="G51" i="2"/>
  <c r="F51" i="2"/>
  <c r="G672" i="1"/>
  <c r="C5" i="10" s="1"/>
  <c r="C104" i="2"/>
  <c r="L257" i="1"/>
  <c r="L271" i="1" s="1"/>
  <c r="G632" i="1" s="1"/>
  <c r="J632" i="1" s="1"/>
  <c r="F672" i="1"/>
  <c r="C4" i="10" s="1"/>
  <c r="F667" i="1"/>
  <c r="I660" i="1"/>
  <c r="I664" i="1" s="1"/>
  <c r="I672" i="1" s="1"/>
  <c r="C7" i="10" s="1"/>
  <c r="H672" i="1"/>
  <c r="C6" i="10" s="1"/>
  <c r="C145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33" i="13" l="1"/>
  <c r="D36" i="13" s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<sst xmlns="http://schemas.openxmlformats.org/spreadsheetml/2006/main" count="3957" uniqueCount="914">
  <si>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</si>
  <si>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</si>
  <si>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</si>
  <si>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</si>
  <si>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</si>
  <si>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</si>
  <si>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</si>
  <si>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</si>
  <si>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</si>
  <si>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</si>
  <si>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</si>
  <si>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</si>
  <si>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</si>
  <si>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</si>
  <si>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</si>
  <si>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</si>
  <si>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</si>
  <si>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</si>
  <si>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</si>
  <si>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</si>
  <si>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</si>
  <si>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</si>
  <si>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</si>
  <si>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</si>
  <si>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</si>
  <si>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</si>
  <si>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</si>
  <si>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</si>
  <si>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</si>
  <si>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</si>
  <si>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</si>
  <si>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</si>
  <si>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</si>
  <si>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</si>
  <si>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</si>
  <si>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</si>
  <si>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</si>
  <si>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</si>
  <si>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</si>
  <si>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</si>
  <si>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</si>
  <si>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</si>
  <si>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</si>
  <si>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</si>
  <si>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</si>
  <si>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</si>
  <si>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</si>
  <si>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</si>
  <si>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</si>
  <si>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</si>
  <si>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</si>
  <si>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</si>
  <si>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</si>
  <si>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</si>
  <si>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</si>
  <si>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</si>
  <si>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</si>
  <si>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</si>
  <si>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</si>
  <si>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</si>
  <si>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</si>
  <si>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</si>
  <si>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</si>
  <si>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</si>
  <si>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</si>
  <si>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</si>
  <si>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</si>
  <si>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</si>
  <si>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</si>
  <si>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</si>
  <si>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</si>
  <si>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</si>
  <si>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</si>
  <si>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</si>
  <si>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</si>
  <si>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</si>
  <si>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</si>
  <si>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</si>
  <si>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</si>
  <si>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</si>
  <si>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</si>
  <si>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</si>
  <si>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</si>
  <si>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</si>
  <si>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</si>
  <si>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</si>
  <si>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</si>
  <si>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</si>
  <si>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</si>
  <si>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</si>
  <si>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</si>
  <si>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</si>
  <si>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</si>
  <si>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</si>
  <si>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</si>
  <si>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</si>
  <si>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</si>
  <si>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</si>
  <si>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</si>
  <si>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</si>
  <si>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</si>
  <si>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</si>
  <si>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</si>
  <si>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</si>
  <si>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</si>
  <si>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</si>
  <si>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</si>
  <si>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</si>
  <si>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</si>
  <si>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</si>
  <si>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</si>
  <si>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</si>
  <si>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</si>
  <si>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</si>
  <si>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</si>
  <si>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</si>
  <si>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</si>
  <si>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</si>
  <si>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</si>
  <si>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</si>
  <si>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</si>
  <si>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</si>
  <si>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</si>
  <si>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</si>
  <si>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</si>
  <si>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</si>
  <si>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</si>
  <si>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</si>
  <si>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</si>
  <si>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</si>
  <si>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</si>
  <si>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</si>
  <si>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</si>
  <si>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</si>
  <si>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</si>
  <si>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</si>
  <si>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</si>
  <si>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</si>
  <si>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</si>
  <si>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</si>
  <si>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</si>
  <si>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</si>
  <si>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</si>
  <si>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</si>
  <si>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</si>
  <si>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</si>
  <si>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</si>
  <si>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</si>
  <si>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</si>
  <si>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</si>
  <si>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</si>
  <si>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</si>
  <si>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</si>
  <si>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</si>
  <si>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</si>
  <si>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</si>
  <si>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</si>
  <si>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</si>
  <si>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</si>
  <si>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</si>
  <si>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</si>
  <si>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</si>
  <si>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</si>
  <si>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</si>
  <si>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</si>
  <si>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</si>
  <si>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</si>
  <si>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</si>
  <si>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</si>
  <si>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</si>
  <si>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</si>
  <si>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</si>
  <si>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</si>
  <si>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</si>
  <si>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</si>
  <si>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</si>
  <si>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</si>
  <si>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</si>
  <si>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</si>
  <si>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</si>
  <si>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</si>
  <si>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</si>
  <si>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</si>
  <si>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</si>
  <si>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</si>
  <si>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</si>
  <si>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</si>
  <si>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</si>
  <si>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</si>
  <si>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</si>
  <si>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</si>
  <si>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</si>
  <si>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</si>
  <si>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</si>
  <si>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</si>
  <si>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</si>
  <si>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</si>
  <si>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</si>
  <si>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</si>
  <si>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</si>
  <si>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</si>
  <si>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</si>
  <si>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</si>
  <si>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</si>
  <si>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</si>
  <si>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</si>
  <si>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</si>
  <si>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</si>
  <si>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</si>
  <si>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</si>
  <si>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</si>
  <si>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</si>
  <si>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</si>
  <si>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</si>
  <si>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</si>
  <si>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</si>
  <si>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</si>
  <si>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</si>
  <si>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</si>
  <si>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</si>
  <si>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</si>
  <si>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</si>
  <si>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</si>
  <si>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</si>
  <si>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</si>
  <si>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</si>
  <si>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</si>
  <si>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</si>
  <si>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</si>
  <si>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</si>
  <si>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</si>
  <si>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</si>
  <si>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</si>
  <si>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</si>
  <si>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</si>
  <si>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</si>
  <si>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</si>
  <si>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</si>
  <si>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</si>
  <si>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</si>
  <si>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</si>
  <si>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</si>
  <si>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</si>
  <si>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</si>
  <si>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</si>
  <si>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</si>
  <si>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</si>
  <si>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</si>
  <si>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</si>
  <si>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</si>
  <si>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</si>
  <si>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</si>
  <si>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</si>
  <si>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</si>
  <si>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</si>
  <si>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</si>
  <si>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</si>
  <si>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</si>
  <si>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</si>
  <si>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</si>
  <si>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</si>
  <si>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</si>
  <si>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</si>
  <si>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</si>
  <si>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</si>
  <si>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</si>
  <si>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</si>
  <si>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</si>
  <si>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</si>
  <si>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</si>
  <si>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</si>
  <si>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</si>
  <si>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</si>
  <si>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</si>
  <si>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</si>
  <si>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</si>
  <si>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</si>
  <si>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</si>
  <si>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</si>
  <si>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</si>
  <si>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</si>
  <si>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</si>
  <si>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</si>
  <si>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</si>
  <si>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</si>
  <si>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</si>
  <si>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</si>
  <si>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</si>
  <si>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</si>
  <si>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</si>
  <si>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</si>
  <si>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</si>
  <si>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</si>
  <si>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</si>
  <si>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</si>
  <si>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</si>
  <si>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</si>
  <si>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</si>
  <si>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</si>
  <si>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</si>
  <si>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</si>
  <si>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</si>
  <si>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</si>
  <si>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</si>
  <si>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</si>
  <si>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</si>
  <si>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</si>
  <si>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</si>
  <si>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</si>
  <si>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</si>
  <si>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</si>
  <si>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</si>
  <si>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</si>
  <si>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</si>
  <si>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</si>
  <si>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</si>
  <si>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</si>
  <si>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</si>
  <si>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</si>
  <si>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</si>
  <si>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</si>
  <si>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</si>
  <si>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</si>
  <si>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</si>
  <si>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</si>
  <si>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</si>
  <si>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</si>
  <si>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</si>
  <si>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</si>
  <si>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</si>
  <si>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</si>
  <si>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</si>
  <si>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</si>
  <si>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</si>
  <si>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</si>
  <si>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</si>
  <si>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</si>
  <si>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</si>
  <si>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</si>
  <si>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</si>
  <si>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</si>
  <si>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</si>
  <si>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</si>
  <si>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</si>
  <si>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</si>
  <si>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</si>
  <si>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</si>
  <si>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</si>
  <si>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</si>
  <si>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</si>
  <si>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</si>
  <si>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</si>
  <si>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</si>
  <si>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</si>
  <si>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</si>
  <si>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</si>
  <si>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</si>
  <si>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</si>
  <si>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</si>
  <si>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</si>
  <si>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</si>
  <si>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</si>
  <si>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</si>
  <si>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</si>
  <si>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</si>
  <si>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</si>
  <si>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</si>
  <si>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</si>
  <si>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</si>
  <si>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</si>
  <si>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</si>
  <si>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</si>
  <si>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</si>
  <si>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</si>
  <si>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</si>
  <si>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</si>
  <si>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</si>
  <si>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</si>
  <si>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</si>
  <si>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</si>
  <si>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</si>
  <si>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</si>
  <si>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</si>
  <si>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</si>
  <si>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</si>
  <si>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</si>
  <si>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</si>
  <si>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</si>
  <si>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</si>
  <si>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</si>
  <si>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</si>
  <si>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</si>
  <si>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</si>
  <si>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</si>
  <si>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</si>
  <si>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</si>
  <si>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</si>
  <si>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</si>
  <si>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</si>
  <si>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</si>
  <si>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</si>
  <si>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</si>
  <si>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</si>
  <si>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</si>
  <si>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</si>
  <si>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</si>
  <si>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</si>
  <si>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</si>
  <si>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</si>
  <si>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</si>
  <si>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</si>
  <si>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</si>
  <si>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</si>
  <si>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</si>
  <si>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</si>
  <si>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</si>
  <si>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</si>
  <si>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</si>
  <si>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</si>
  <si>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</si>
  <si>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</si>
  <si>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</si>
  <si>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</si>
  <si>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</si>
  <si>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</si>
  <si>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</si>
  <si>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</si>
  <si>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</si>
  <si>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</si>
  <si>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</si>
  <si>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</si>
  <si>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</si>
  <si>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</si>
  <si>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</si>
  <si>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</si>
  <si>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</si>
  <si>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</si>
  <si>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</si>
  <si>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</si>
  <si>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</si>
  <si>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</si>
  <si>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</si>
  <si>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</si>
  <si>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</si>
  <si>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</si>
  <si>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</si>
  <si>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</si>
  <si>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</si>
  <si>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</si>
  <si>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</si>
  <si>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</si>
  <si>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</si>
  <si>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</si>
  <si>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</si>
  <si>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</si>
  <si>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</si>
  <si>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</si>
  <si>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</si>
  <si>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</si>
  <si>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</si>
  <si>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</si>
  <si>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</si>
  <si>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</si>
  <si>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</si>
  <si>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</si>
  <si>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</si>
  <si>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</si>
  <si>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</si>
  <si>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</si>
  <si>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</si>
  <si>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</si>
  <si>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</si>
  <si>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</si>
  <si>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</si>
  <si>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</si>
  <si>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</si>
  <si>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</si>
  <si>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</si>
  <si>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</si>
  <si>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</si>
  <si>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</si>
  <si>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</si>
  <si>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</si>
  <si>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</si>
  <si>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</si>
  <si>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</si>
  <si>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</si>
  <si>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</si>
  <si>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</si>
  <si>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</si>
  <si>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</si>
  <si>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</si>
  <si>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</si>
  <si>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</si>
  <si>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</si>
  <si>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</si>
  <si>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</si>
  <si>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</si>
  <si>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</si>
  <si>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</si>
  <si>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</si>
  <si>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</si>
  <si>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</si>
  <si>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</si>
  <si>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</si>
  <si>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</si>
  <si>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</si>
  <si>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</si>
  <si>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</si>
  <si>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</si>
  <si>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</si>
  <si>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</si>
  <si>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</si>
  <si>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</si>
  <si>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</si>
  <si>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</si>
  <si>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</si>
  <si>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</si>
  <si>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</si>
  <si>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</si>
  <si>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</si>
  <si>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</si>
  <si>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</si>
  <si>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</si>
  <si>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</si>
  <si>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</si>
  <si>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</si>
  <si>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</si>
  <si>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</si>
  <si>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</si>
  <si>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</si>
  <si>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</si>
  <si>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</si>
  <si>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</si>
  <si>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</si>
  <si>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</si>
  <si>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</si>
  <si>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</si>
  <si>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</si>
  <si>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</si>
  <si>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</si>
  <si>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</si>
  <si>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</si>
  <si>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</si>
  <si>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</si>
  <si>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</si>
  <si>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</si>
  <si>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</si>
  <si>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</si>
  <si>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</si>
  <si>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</si>
  <si>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</si>
  <si>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</si>
  <si>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</si>
  <si>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</si>
  <si>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</si>
  <si>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</si>
  <si>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</si>
  <si>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</si>
  <si>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</si>
  <si>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</si>
  <si>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</si>
  <si>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</si>
  <si>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</si>
  <si>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</si>
  <si>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</si>
  <si>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</si>
  <si>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</si>
  <si>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</si>
  <si>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</si>
  <si>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</si>
  <si>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</si>
  <si>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</si>
  <si>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</si>
  <si>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</si>
  <si>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</si>
  <si>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</si>
  <si>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</si>
  <si>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</si>
  <si>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</si>
  <si>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</si>
  <si>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</si>
  <si>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</si>
  <si>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</si>
  <si>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</si>
  <si>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</si>
  <si>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</si>
  <si>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</si>
  <si>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</si>
  <si>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</si>
  <si>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</si>
  <si>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</si>
  <si>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</si>
  <si>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</si>
  <si>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</si>
  <si>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</si>
  <si>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</si>
  <si>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</si>
  <si>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</si>
  <si>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</si>
  <si>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</si>
  <si>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</si>
  <si>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</si>
  <si>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</si>
  <si>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</si>
  <si>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</si>
  <si>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</si>
  <si>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</si>
  <si>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</si>
  <si>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</si>
  <si>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</si>
  <si>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</si>
  <si>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</si>
  <si>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</si>
  <si>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</si>
  <si>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</si>
  <si>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</si>
  <si>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</si>
  <si>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</si>
  <si>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</si>
  <si>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</si>
  <si>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</si>
  <si>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</si>
  <si>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</si>
  <si>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</si>
  <si>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</si>
  <si>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</si>
  <si>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</si>
  <si>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</si>
  <si>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</si>
  <si>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</si>
  <si>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</si>
  <si>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</si>
  <si>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</si>
  <si>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</si>
  <si>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</si>
  <si>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</si>
  <si>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</si>
  <si>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</si>
  <si>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</si>
  <si>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</si>
  <si>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</si>
  <si>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</si>
  <si>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</si>
  <si>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</si>
  <si>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</si>
  <si>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</si>
  <si>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</si>
  <si>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</si>
  <si>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</si>
  <si>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</si>
  <si>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</si>
  <si>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</si>
  <si>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</si>
  <si>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</si>
  <si>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</si>
  <si>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</si>
  <si>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</si>
  <si>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</si>
  <si>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</si>
  <si>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</si>
  <si>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</si>
  <si>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</si>
  <si>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</si>
  <si>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</si>
  <si>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</si>
  <si>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</si>
  <si>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</si>
  <si>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</si>
  <si>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</si>
  <si>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</si>
  <si>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</si>
  <si>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</si>
  <si>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</si>
  <si>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</si>
  <si>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</si>
  <si>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</si>
  <si>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</si>
  <si>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</si>
  <si>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</si>
  <si>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</si>
  <si>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</si>
  <si>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</si>
  <si>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</si>
  <si>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</si>
  <si>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</si>
  <si>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</si>
  <si>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</si>
  <si>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</si>
  <si>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</si>
  <si>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</si>
  <si>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</si>
  <si>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</si>
  <si>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</si>
  <si>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</si>
  <si>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</si>
  <si>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</si>
  <si>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</si>
  <si>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</si>
  <si>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</si>
  <si>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</si>
  <si>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</si>
  <si>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</si>
  <si>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</si>
  <si>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</si>
  <si>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</si>
  <si>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</si>
  <si>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</si>
  <si>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</si>
  <si>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</si>
  <si>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</si>
  <si>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</si>
  <si>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</si>
  <si>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</si>
  <si>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</si>
  <si>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</si>
  <si>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</si>
  <si>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</si>
  <si>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</si>
  <si>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</si>
  <si>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</si>
  <si>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</si>
  <si>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</si>
  <si>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</si>
  <si>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</si>
  <si>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</si>
  <si>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</si>
  <si>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</si>
  <si>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</si>
  <si>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</si>
  <si>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</si>
  <si>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</si>
  <si>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</si>
  <si>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</si>
  <si>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</si>
  <si>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</si>
  <si>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</si>
  <si>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</si>
  <si>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</si>
  <si>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</si>
  <si>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</si>
  <si>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</si>
  <si>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</si>
  <si>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</si>
  <si>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</si>
  <si>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</si>
  <si>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</si>
  <si>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</si>
  <si>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</si>
  <si>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</si>
  <si>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</si>
  <si>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</si>
  <si>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</si>
  <si>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</si>
  <si>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</si>
  <si>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</si>
  <si>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</si>
  <si>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</si>
  <si>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</si>
  <si>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</si>
  <si>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</si>
  <si>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</si>
  <si>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</si>
  <si>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</si>
  <si>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</si>
  <si>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</si>
  <si>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</si>
  <si>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</si>
  <si>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</si>
  <si>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</si>
  <si>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</si>
  <si>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</si>
  <si>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</si>
  <si>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</si>
  <si>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</si>
  <si>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</si>
  <si>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</si>
  <si>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</si>
  <si>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</si>
  <si>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</si>
  <si>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</si>
  <si>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</si>
  <si>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</si>
  <si>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</si>
  <si>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</si>
  <si>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</si>
  <si>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</si>
  <si>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</si>
  <si>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</si>
  <si>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</si>
  <si>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</si>
  <si>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</si>
  <si>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</si>
  <si>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</si>
  <si>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</si>
  <si>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</si>
  <si>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</si>
  <si>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</si>
  <si>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</si>
  <si>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</si>
  <si>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</si>
  <si>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</si>
  <si>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</si>
  <si>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</si>
  <si>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</si>
  <si>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</si>
  <si>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</si>
  <si>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</si>
  <si>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</si>
  <si>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</si>
  <si>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</si>
  <si>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</si>
  <si>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</si>
  <si>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</si>
  <si>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</si>
  <si>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</si>
  <si>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</si>
  <si>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</si>
  <si>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</si>
  <si>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</si>
  <si>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</si>
  <si>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</si>
  <si>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</si>
  <si>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</si>
  <si>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</si>
  <si>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</si>
  <si>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</si>
  <si>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</si>
  <si>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</si>
  <si>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</si>
  <si>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</si>
  <si>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</si>
  <si>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</si>
  <si>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</si>
  <si>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</si>
  <si>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</si>
  <si>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</si>
  <si>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</si>
  <si>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</si>
  <si>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</si>
  <si>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</si>
  <si>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</si>
  <si>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</si>
  <si>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</si>
  <si>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</si>
  <si>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</si>
  <si>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</si>
  <si>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</si>
  <si>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</si>
  <si>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</si>
  <si>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</si>
  <si>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</si>
  <si>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</si>
  <si>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</si>
  <si>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</si>
  <si>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</si>
  <si>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</si>
  <si>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</si>
  <si>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</si>
  <si>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</si>
  <si>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</si>
  <si>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</si>
  <si>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</si>
  <si>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</si>
  <si>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</si>
  <si>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</si>
  <si>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</si>
  <si>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</si>
  <si>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</si>
  <si>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</si>
  <si>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</si>
  <si>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</si>
  <si>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</si>
  <si>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</si>
  <si>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</si>
  <si>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</si>
  <si>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</si>
  <si>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</si>
  <si>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</si>
  <si>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</si>
  <si>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</si>
  <si>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</si>
  <si>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</si>
  <si>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</si>
  <si>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</si>
  <si>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</si>
  <si>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</si>
  <si>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</si>
  <si>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</si>
  <si>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</si>
  <si>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</si>
  <si>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</si>
  <si>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</si>
  <si>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</si>
  <si>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</si>
  <si>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</si>
  <si>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</si>
  <si>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</si>
  <si>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</si>
  <si>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</si>
  <si>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</si>
  <si>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</si>
  <si>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</si>
  <si>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</si>
  <si>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</si>
  <si>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</si>
  <si>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</si>
  <si>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</si>
  <si>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</si>
  <si>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</si>
  <si>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</si>
  <si>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Retirees District Paid Health and Dental</t>
  </si>
  <si>
    <t>Inter-lakes School District</t>
  </si>
  <si>
    <t>Elementary School Playground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</si>
</sst>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269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775917.32+2800</f>
        <v>778717.32</v>
      </c>
      <c r="G9" s="18"/>
      <c r="H9" s="18"/>
      <c r="I9" s="18">
        <v>3231.11</v>
      </c>
      <c r="J9" s="67">
        <f>SUM(I439)</f>
        <v>512071.55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5734722.1200000001</v>
      </c>
      <c r="G12" s="18">
        <v>2745892.16</v>
      </c>
      <c r="H12" s="18">
        <v>2932915.74</v>
      </c>
      <c r="I12" s="18">
        <v>22.38</v>
      </c>
      <c r="J12" s="67">
        <f>SUM(I441)</f>
        <v>25000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89095.46</v>
      </c>
      <c r="G13" s="18">
        <v>69759.47</v>
      </c>
      <c r="H13" s="18">
        <v>23444.38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11353.45</v>
      </c>
      <c r="G14" s="18">
        <v>-5396.81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89176</v>
      </c>
      <c r="G17" s="18"/>
      <c r="H17" s="18">
        <v>25.63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6703064.3500000006</v>
      </c>
      <c r="G19" s="41">
        <f>SUM(G9:G18)</f>
        <v>2810254.8200000003</v>
      </c>
      <c r="H19" s="41">
        <f>SUM(H9:H18)</f>
        <v>2956385.75</v>
      </c>
      <c r="I19" s="41">
        <f>SUM(I9:I18)</f>
        <v>3253.4900000000002</v>
      </c>
      <c r="J19" s="41">
        <f>SUM(J9:J18)</f>
        <v>537071.55000000005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5703830.2800000003</v>
      </c>
      <c r="G22" s="18">
        <v>2801752.48</v>
      </c>
      <c r="H22" s="18">
        <v>2907947.26</v>
      </c>
      <c r="I22" s="18">
        <v>22.38</v>
      </c>
      <c r="J22" s="67">
        <f>SUM(I448)</f>
        <v>25000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46114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162712.18</v>
      </c>
      <c r="G24" s="18">
        <v>15</v>
      </c>
      <c r="H24" s="18">
        <v>7412.46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427.38+28.1+8869.84</f>
        <v>9325.32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794.89</v>
      </c>
      <c r="G30" s="18">
        <v>-206.35</v>
      </c>
      <c r="H30" s="18">
        <v>751.31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5922776.6699999999</v>
      </c>
      <c r="G32" s="41">
        <f>SUM(G22:G31)</f>
        <v>2801561.13</v>
      </c>
      <c r="H32" s="41">
        <f>SUM(H22:H31)</f>
        <v>2916111.03</v>
      </c>
      <c r="I32" s="41">
        <f>SUM(I22:I31)</f>
        <v>22.38</v>
      </c>
      <c r="J32" s="41">
        <f>SUM(J22:J31)</f>
        <v>25000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8693.69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v>40274.720000000001</v>
      </c>
      <c r="I48" s="18">
        <v>3231.11</v>
      </c>
      <c r="J48" s="13">
        <f>SUM(I459)</f>
        <v>512071.55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391013.74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314273.94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780287.67999999993</v>
      </c>
      <c r="G51" s="41">
        <f>SUM(G35:G50)</f>
        <v>8693.69</v>
      </c>
      <c r="H51" s="41">
        <f>SUM(H35:H50)</f>
        <v>40274.720000000001</v>
      </c>
      <c r="I51" s="41">
        <f>SUM(I35:I50)</f>
        <v>3231.11</v>
      </c>
      <c r="J51" s="41">
        <f>SUM(J35:J50)</f>
        <v>512071.55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6703064.3499999996</v>
      </c>
      <c r="G52" s="41">
        <f>G51+G32</f>
        <v>2810254.82</v>
      </c>
      <c r="H52" s="41">
        <f>H51+H32</f>
        <v>2956385.75</v>
      </c>
      <c r="I52" s="41">
        <f>I51+I32</f>
        <v>3253.4900000000002</v>
      </c>
      <c r="J52" s="41">
        <f>J51+J32</f>
        <v>537071.55000000005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13274516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13274516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76512.149999999994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76512.149999999994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2047.38</v>
      </c>
      <c r="G96" s="18"/>
      <c r="H96" s="18"/>
      <c r="I96" s="18"/>
      <c r="J96" s="18">
        <f>18.14+15.04+28.45+6.73+0.59</f>
        <v>68.95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210927.75+1919+1198</f>
        <v>214044.75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2477.75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12993.65+9625</f>
        <v>22618.65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f>4731+66515.35</f>
        <v>71246.350000000006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3276.95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7311.52</v>
      </c>
      <c r="G110" s="18"/>
      <c r="H110" s="18">
        <v>8846.44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37732.25</v>
      </c>
      <c r="G111" s="41">
        <f>SUM(G96:G110)</f>
        <v>214044.75</v>
      </c>
      <c r="H111" s="41">
        <f>SUM(H96:H110)</f>
        <v>80092.790000000008</v>
      </c>
      <c r="I111" s="41">
        <f>SUM(I96:I110)</f>
        <v>0</v>
      </c>
      <c r="J111" s="41">
        <f>SUM(J96:J110)</f>
        <v>68.95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13388760.4</v>
      </c>
      <c r="G112" s="41">
        <f>G60+G111</f>
        <v>214044.75</v>
      </c>
      <c r="H112" s="41">
        <f>H60+H79+H94+H111</f>
        <v>80092.790000000008</v>
      </c>
      <c r="I112" s="41">
        <f>I60+I111</f>
        <v>0</v>
      </c>
      <c r="J112" s="41">
        <f>J60+J111</f>
        <v>68.95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248981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6549932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6798913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60286.38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41852.120000000003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12106.2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6072.32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114244.7</v>
      </c>
      <c r="G136" s="41">
        <f>SUM(G123:G135)</f>
        <v>6072.32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6913157.7000000002</v>
      </c>
      <c r="G140" s="41">
        <f>G121+SUM(G136:G137)</f>
        <v>6072.32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12104.44+234275.26</f>
        <v>246379.7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15651.63+68329.64+16969.65+20847.21</f>
        <v>121798.13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191414.17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148308.29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40229.61</v>
      </c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188537.90000000002</v>
      </c>
      <c r="G162" s="41">
        <f>SUM(G150:G161)</f>
        <v>191414.17</v>
      </c>
      <c r="H162" s="41">
        <f>SUM(H150:H161)</f>
        <v>368177.83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10073.69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198611.59000000003</v>
      </c>
      <c r="G169" s="41">
        <f>G147+G162+SUM(G163:G168)</f>
        <v>191414.17</v>
      </c>
      <c r="H169" s="41">
        <f>H147+H162+SUM(H163:H168)</f>
        <v>368177.83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30000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20500529.690000001</v>
      </c>
      <c r="G193" s="47">
        <f>G112+G140+G169+G192</f>
        <v>411531.24</v>
      </c>
      <c r="H193" s="47">
        <f>H112+H140+H169+H192</f>
        <v>448270.62</v>
      </c>
      <c r="I193" s="47">
        <f>I112+I140+I169+I192</f>
        <v>0</v>
      </c>
      <c r="J193" s="47">
        <f>J112+J140+J192</f>
        <v>30068.95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3641740.0990000004</v>
      </c>
      <c r="G197" s="18">
        <v>1569288.5315</v>
      </c>
      <c r="H197" s="18">
        <v>57297.54</v>
      </c>
      <c r="I197" s="18">
        <v>80422.710999999996</v>
      </c>
      <c r="J197" s="18">
        <v>18463.46</v>
      </c>
      <c r="K197" s="18">
        <v>196</v>
      </c>
      <c r="L197" s="19">
        <f>SUM(F197:K197)</f>
        <v>5367408.3415000001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1462324.3375000001</v>
      </c>
      <c r="G198" s="18">
        <v>691845.3125</v>
      </c>
      <c r="H198" s="18">
        <v>113990.07949999999</v>
      </c>
      <c r="I198" s="18">
        <v>3153.7165</v>
      </c>
      <c r="J198" s="18">
        <v>117.37</v>
      </c>
      <c r="K198" s="18">
        <v>0</v>
      </c>
      <c r="L198" s="19">
        <f>SUM(F198:K198)</f>
        <v>2271430.8160000006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82279.5</v>
      </c>
      <c r="G200" s="18">
        <v>13138.8</v>
      </c>
      <c r="H200" s="18">
        <v>6101.69</v>
      </c>
      <c r="I200" s="18">
        <v>4620.37</v>
      </c>
      <c r="J200" s="18">
        <v>0</v>
      </c>
      <c r="K200" s="18">
        <v>1425</v>
      </c>
      <c r="L200" s="19">
        <f>SUM(F200:K200)</f>
        <v>107565.36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538380.40049999999</v>
      </c>
      <c r="G202" s="18">
        <v>300583.71350000001</v>
      </c>
      <c r="H202" s="18">
        <v>76577.375</v>
      </c>
      <c r="I202" s="18">
        <v>6220.1549999999997</v>
      </c>
      <c r="J202" s="18">
        <v>1173.0355</v>
      </c>
      <c r="K202" s="18">
        <v>135</v>
      </c>
      <c r="L202" s="19">
        <f t="shared" ref="L202:L208" si="0">SUM(F202:K202)</f>
        <v>923069.67950000009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335823.97950000002</v>
      </c>
      <c r="G203" s="18">
        <v>185012.86749999999</v>
      </c>
      <c r="H203" s="18">
        <v>153568.57200000001</v>
      </c>
      <c r="I203" s="18">
        <v>67745.801500000001</v>
      </c>
      <c r="J203" s="18">
        <v>105697.15000000001</v>
      </c>
      <c r="K203" s="18">
        <v>4131.5</v>
      </c>
      <c r="L203" s="19">
        <f t="shared" si="0"/>
        <v>851979.87050000008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5330</v>
      </c>
      <c r="G204" s="18">
        <v>411.57350000000002</v>
      </c>
      <c r="H204" s="18">
        <v>530445.09700000007</v>
      </c>
      <c r="I204" s="18">
        <v>2073.279</v>
      </c>
      <c r="J204" s="18">
        <v>0</v>
      </c>
      <c r="K204" s="18">
        <v>5112.3215</v>
      </c>
      <c r="L204" s="19">
        <f t="shared" si="0"/>
        <v>543372.27100000007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491377.24</v>
      </c>
      <c r="G205" s="18">
        <v>262705.13</v>
      </c>
      <c r="H205" s="18">
        <v>17145.82</v>
      </c>
      <c r="I205" s="18">
        <v>2926.37</v>
      </c>
      <c r="J205" s="18">
        <v>139.97999999999999</v>
      </c>
      <c r="K205" s="18">
        <v>2144</v>
      </c>
      <c r="L205" s="19">
        <f t="shared" si="0"/>
        <v>776438.53999999992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9916.5625</v>
      </c>
      <c r="G206" s="18">
        <v>821.24250000000006</v>
      </c>
      <c r="H206" s="18">
        <v>0</v>
      </c>
      <c r="I206" s="18">
        <v>206.05</v>
      </c>
      <c r="J206" s="18">
        <v>2566.2000000000003</v>
      </c>
      <c r="K206" s="18">
        <v>0</v>
      </c>
      <c r="L206" s="19">
        <f t="shared" si="0"/>
        <v>13510.055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354626.1605</v>
      </c>
      <c r="G207" s="18">
        <v>204448.91700000002</v>
      </c>
      <c r="H207" s="18">
        <v>355698.96650000004</v>
      </c>
      <c r="I207" s="18">
        <v>307727.83400000003</v>
      </c>
      <c r="J207" s="18">
        <v>123172.33600000001</v>
      </c>
      <c r="K207" s="18">
        <v>375.7</v>
      </c>
      <c r="L207" s="19">
        <f t="shared" si="0"/>
        <v>1346049.9140000001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534637.73950000003</v>
      </c>
      <c r="I208" s="18"/>
      <c r="J208" s="18"/>
      <c r="K208" s="18"/>
      <c r="L208" s="19">
        <f t="shared" si="0"/>
        <v>534637.73950000003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>
        <v>426769.109</v>
      </c>
      <c r="H209" s="18"/>
      <c r="I209" s="18"/>
      <c r="J209" s="18"/>
      <c r="K209" s="18"/>
      <c r="L209" s="19">
        <f>SUM(F209:K209)</f>
        <v>426769.109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6921798.279500002</v>
      </c>
      <c r="G211" s="41">
        <f t="shared" si="1"/>
        <v>3655025.1970000002</v>
      </c>
      <c r="H211" s="41">
        <f t="shared" si="1"/>
        <v>1845462.8795000003</v>
      </c>
      <c r="I211" s="41">
        <f t="shared" si="1"/>
        <v>475096.28700000001</v>
      </c>
      <c r="J211" s="41">
        <f t="shared" si="1"/>
        <v>251329.53150000001</v>
      </c>
      <c r="K211" s="41">
        <f t="shared" si="1"/>
        <v>13519.521500000001</v>
      </c>
      <c r="L211" s="41">
        <f t="shared" si="1"/>
        <v>13162231.695999999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1745438.1709999999</v>
      </c>
      <c r="G233" s="18">
        <v>767600.6385</v>
      </c>
      <c r="H233" s="18">
        <v>8191.78</v>
      </c>
      <c r="I233" s="18">
        <v>66209.929000000004</v>
      </c>
      <c r="J233" s="18">
        <v>62146.720000000001</v>
      </c>
      <c r="K233" s="18">
        <v>0</v>
      </c>
      <c r="L233" s="19">
        <f>SUM(F233:K233)</f>
        <v>2649587.2385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455372.27250000002</v>
      </c>
      <c r="G234" s="18">
        <v>158981.57749999998</v>
      </c>
      <c r="H234" s="18">
        <v>154334.18050000002</v>
      </c>
      <c r="I234" s="18">
        <v>426.52349999999996</v>
      </c>
      <c r="J234" s="18">
        <v>0</v>
      </c>
      <c r="K234" s="18">
        <v>0</v>
      </c>
      <c r="L234" s="19">
        <f>SUM(F234:K234)</f>
        <v>769114.554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v>102348.6</v>
      </c>
      <c r="I235" s="18"/>
      <c r="J235" s="18"/>
      <c r="K235" s="18"/>
      <c r="L235" s="19">
        <f>SUM(F235:K235)</f>
        <v>102348.6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185045.45</v>
      </c>
      <c r="G236" s="18">
        <v>34360.42</v>
      </c>
      <c r="H236" s="18">
        <v>65279.02</v>
      </c>
      <c r="I236" s="18">
        <v>21965.61</v>
      </c>
      <c r="J236" s="18">
        <v>4696.05</v>
      </c>
      <c r="K236" s="18">
        <v>15798.69</v>
      </c>
      <c r="L236" s="19">
        <f>SUM(F236:K236)</f>
        <v>327145.24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300566.3395</v>
      </c>
      <c r="G238" s="18">
        <v>175956.90650000001</v>
      </c>
      <c r="H238" s="18">
        <v>24396.384999999998</v>
      </c>
      <c r="I238" s="18">
        <v>6229.6449999999995</v>
      </c>
      <c r="J238" s="18">
        <v>631.63449999999989</v>
      </c>
      <c r="K238" s="18">
        <v>0</v>
      </c>
      <c r="L238" s="19">
        <f t="shared" ref="L238:L244" si="4">SUM(F238:K238)</f>
        <v>507780.91050000006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161769.03049999999</v>
      </c>
      <c r="G239" s="18">
        <v>95995.282500000001</v>
      </c>
      <c r="H239" s="18">
        <v>96962.107999999993</v>
      </c>
      <c r="I239" s="18">
        <v>29389.908499999998</v>
      </c>
      <c r="J239" s="18">
        <v>57568.209999999992</v>
      </c>
      <c r="K239" s="18">
        <v>369.53</v>
      </c>
      <c r="L239" s="19">
        <f t="shared" si="4"/>
        <v>442054.06949999998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2870</v>
      </c>
      <c r="G240" s="18">
        <v>221.61650000000003</v>
      </c>
      <c r="H240" s="18">
        <v>285624.28299999994</v>
      </c>
      <c r="I240" s="18">
        <v>1116.3809999999999</v>
      </c>
      <c r="J240" s="18">
        <v>0</v>
      </c>
      <c r="K240" s="18">
        <v>2752.7884999999997</v>
      </c>
      <c r="L240" s="19">
        <f t="shared" si="4"/>
        <v>292585.06899999996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255656.78999999998</v>
      </c>
      <c r="G241" s="18">
        <v>128670.36</v>
      </c>
      <c r="H241" s="18">
        <v>59888.22</v>
      </c>
      <c r="I241" s="18">
        <v>5983.17</v>
      </c>
      <c r="J241" s="18">
        <v>0</v>
      </c>
      <c r="K241" s="18">
        <v>8265.25</v>
      </c>
      <c r="L241" s="19">
        <f t="shared" si="4"/>
        <v>458463.79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5339.6875</v>
      </c>
      <c r="G242" s="18">
        <v>442.20749999999998</v>
      </c>
      <c r="H242" s="18">
        <v>0</v>
      </c>
      <c r="I242" s="18">
        <v>110.94999999999999</v>
      </c>
      <c r="J242" s="18">
        <v>1381.7999999999997</v>
      </c>
      <c r="K242" s="18">
        <v>0</v>
      </c>
      <c r="L242" s="19">
        <f t="shared" si="4"/>
        <v>7274.6450000000004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209864.6495</v>
      </c>
      <c r="G243" s="18">
        <v>132684.003</v>
      </c>
      <c r="H243" s="18">
        <v>239352.09349999999</v>
      </c>
      <c r="I243" s="18">
        <v>229700.20600000001</v>
      </c>
      <c r="J243" s="18">
        <v>168963.91399999999</v>
      </c>
      <c r="K243" s="18">
        <v>202.3</v>
      </c>
      <c r="L243" s="19">
        <f t="shared" si="4"/>
        <v>980767.16599999997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377621.8505</v>
      </c>
      <c r="I244" s="18"/>
      <c r="J244" s="18"/>
      <c r="K244" s="18"/>
      <c r="L244" s="19">
        <f t="shared" si="4"/>
        <v>377621.8505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>
        <v>229798.75099999999</v>
      </c>
      <c r="H245" s="18"/>
      <c r="I245" s="18"/>
      <c r="J245" s="18"/>
      <c r="K245" s="18"/>
      <c r="L245" s="19">
        <f>SUM(F245:K245)</f>
        <v>229798.75099999999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3321922.3904999997</v>
      </c>
      <c r="G247" s="41">
        <f t="shared" si="5"/>
        <v>1724711.763</v>
      </c>
      <c r="H247" s="41">
        <f t="shared" si="5"/>
        <v>1413998.5204999999</v>
      </c>
      <c r="I247" s="41">
        <f t="shared" si="5"/>
        <v>361132.32300000003</v>
      </c>
      <c r="J247" s="41">
        <f t="shared" si="5"/>
        <v>295388.3285</v>
      </c>
      <c r="K247" s="41">
        <f t="shared" si="5"/>
        <v>27388.558499999999</v>
      </c>
      <c r="L247" s="41">
        <f t="shared" si="5"/>
        <v>7144541.8840000005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10243720.670000002</v>
      </c>
      <c r="G257" s="41">
        <f t="shared" si="8"/>
        <v>5379736.96</v>
      </c>
      <c r="H257" s="41">
        <f t="shared" si="8"/>
        <v>3259461.4000000004</v>
      </c>
      <c r="I257" s="41">
        <f t="shared" si="8"/>
        <v>836228.6100000001</v>
      </c>
      <c r="J257" s="41">
        <f t="shared" si="8"/>
        <v>546717.86</v>
      </c>
      <c r="K257" s="41">
        <f t="shared" si="8"/>
        <v>40908.080000000002</v>
      </c>
      <c r="L257" s="41">
        <f t="shared" si="8"/>
        <v>20306773.579999998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30000</v>
      </c>
      <c r="L266" s="19">
        <f t="shared" si="9"/>
        <v>30000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30000</v>
      </c>
      <c r="L270" s="41">
        <f t="shared" si="9"/>
        <v>30000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10243720.670000002</v>
      </c>
      <c r="G271" s="42">
        <f t="shared" si="11"/>
        <v>5379736.96</v>
      </c>
      <c r="H271" s="42">
        <f t="shared" si="11"/>
        <v>3259461.4000000004</v>
      </c>
      <c r="I271" s="42">
        <f t="shared" si="11"/>
        <v>836228.6100000001</v>
      </c>
      <c r="J271" s="42">
        <f t="shared" si="11"/>
        <v>546717.86</v>
      </c>
      <c r="K271" s="42">
        <f t="shared" si="11"/>
        <v>70908.08</v>
      </c>
      <c r="L271" s="42">
        <f t="shared" si="11"/>
        <v>20336773.579999998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146848.364</v>
      </c>
      <c r="G276" s="18">
        <v>42666.597999999998</v>
      </c>
      <c r="H276" s="18">
        <v>4186.3630000000003</v>
      </c>
      <c r="I276" s="18">
        <v>5505.0245000000004</v>
      </c>
      <c r="J276" s="18">
        <v>11956.28</v>
      </c>
      <c r="K276" s="18">
        <v>0</v>
      </c>
      <c r="L276" s="19">
        <f>SUM(F276:K276)</f>
        <v>211162.62950000001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1049.75</v>
      </c>
      <c r="G279" s="18">
        <v>169.13649999999998</v>
      </c>
      <c r="H279" s="18">
        <v>208</v>
      </c>
      <c r="I279" s="18">
        <v>375.64150000000006</v>
      </c>
      <c r="J279" s="18">
        <v>0</v>
      </c>
      <c r="K279" s="18">
        <v>0</v>
      </c>
      <c r="L279" s="19">
        <f>SUM(F279:K279)</f>
        <v>1802.5280000000002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5464.55</v>
      </c>
      <c r="G282" s="18">
        <v>1110.135</v>
      </c>
      <c r="H282" s="18">
        <v>35876.970999999998</v>
      </c>
      <c r="I282" s="18">
        <v>2692.3</v>
      </c>
      <c r="J282" s="18">
        <v>20505.075500000003</v>
      </c>
      <c r="K282" s="18">
        <v>0</v>
      </c>
      <c r="L282" s="19">
        <f t="shared" si="12"/>
        <v>65649.031499999997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13070.226000000001</v>
      </c>
      <c r="L283" s="19">
        <f t="shared" si="12"/>
        <v>13070.226000000001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2562.5050000000001</v>
      </c>
      <c r="I287" s="18"/>
      <c r="J287" s="18"/>
      <c r="K287" s="18"/>
      <c r="L287" s="19">
        <f t="shared" si="12"/>
        <v>2562.5050000000001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153362.66399999999</v>
      </c>
      <c r="G290" s="42">
        <f t="shared" si="13"/>
        <v>43945.869500000001</v>
      </c>
      <c r="H290" s="42">
        <f t="shared" si="13"/>
        <v>42833.838999999993</v>
      </c>
      <c r="I290" s="42">
        <f t="shared" si="13"/>
        <v>8572.9660000000003</v>
      </c>
      <c r="J290" s="42">
        <f t="shared" si="13"/>
        <v>32461.355500000005</v>
      </c>
      <c r="K290" s="42">
        <f t="shared" si="13"/>
        <v>13070.226000000001</v>
      </c>
      <c r="L290" s="41">
        <f t="shared" si="13"/>
        <v>294246.92000000004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79072.195999999996</v>
      </c>
      <c r="G314" s="18">
        <v>22974.322</v>
      </c>
      <c r="H314" s="18">
        <v>90.656999999999982</v>
      </c>
      <c r="I314" s="18">
        <v>1197.9455</v>
      </c>
      <c r="J314" s="18">
        <v>0</v>
      </c>
      <c r="K314" s="18">
        <v>0</v>
      </c>
      <c r="L314" s="19">
        <f>SUM(F314:K314)</f>
        <v>103335.1205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0</v>
      </c>
      <c r="J315" s="18">
        <v>0</v>
      </c>
      <c r="K315" s="18">
        <v>0</v>
      </c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565.25</v>
      </c>
      <c r="G317" s="18">
        <v>91.073499999999996</v>
      </c>
      <c r="H317" s="18">
        <v>112</v>
      </c>
      <c r="I317" s="18">
        <v>202.26850000000002</v>
      </c>
      <c r="J317" s="18">
        <v>0</v>
      </c>
      <c r="K317" s="18">
        <v>0</v>
      </c>
      <c r="L317" s="19">
        <f>SUM(F317:K317)</f>
        <v>970.59199999999998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2942.45</v>
      </c>
      <c r="G320" s="18">
        <v>597.7650000000001</v>
      </c>
      <c r="H320" s="18">
        <v>19318.368999999999</v>
      </c>
      <c r="I320" s="18">
        <v>1449.6999999999998</v>
      </c>
      <c r="J320" s="18">
        <v>11041.194499999998</v>
      </c>
      <c r="K320" s="18">
        <v>0</v>
      </c>
      <c r="L320" s="19">
        <f t="shared" si="16"/>
        <v>35349.478499999997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7037.8140000000003</v>
      </c>
      <c r="L321" s="19">
        <f t="shared" si="16"/>
        <v>7037.8140000000003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1862.0050000000001</v>
      </c>
      <c r="I325" s="18"/>
      <c r="J325" s="18"/>
      <c r="K325" s="18"/>
      <c r="L325" s="19">
        <f t="shared" si="16"/>
        <v>1862.0050000000001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82579.895999999993</v>
      </c>
      <c r="G328" s="42">
        <f t="shared" si="17"/>
        <v>23663.160499999998</v>
      </c>
      <c r="H328" s="42">
        <f t="shared" si="17"/>
        <v>21383.030999999999</v>
      </c>
      <c r="I328" s="42">
        <f t="shared" si="17"/>
        <v>2849.9139999999998</v>
      </c>
      <c r="J328" s="42">
        <f t="shared" si="17"/>
        <v>11041.194499999998</v>
      </c>
      <c r="K328" s="42">
        <f t="shared" si="17"/>
        <v>7037.8140000000003</v>
      </c>
      <c r="L328" s="41">
        <f t="shared" si="17"/>
        <v>148555.01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235942.56</v>
      </c>
      <c r="G338" s="41">
        <f t="shared" si="20"/>
        <v>67609.03</v>
      </c>
      <c r="H338" s="41">
        <f t="shared" si="20"/>
        <v>64216.869999999995</v>
      </c>
      <c r="I338" s="41">
        <f t="shared" si="20"/>
        <v>11422.880000000001</v>
      </c>
      <c r="J338" s="41">
        <f t="shared" si="20"/>
        <v>43502.55</v>
      </c>
      <c r="K338" s="41">
        <f t="shared" si="20"/>
        <v>20108.04</v>
      </c>
      <c r="L338" s="41">
        <f t="shared" si="20"/>
        <v>442801.93000000005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235942.56</v>
      </c>
      <c r="G352" s="41">
        <f>G338</f>
        <v>67609.03</v>
      </c>
      <c r="H352" s="41">
        <f>H338</f>
        <v>64216.869999999995</v>
      </c>
      <c r="I352" s="41">
        <f>I338</f>
        <v>11422.880000000001</v>
      </c>
      <c r="J352" s="41">
        <f>J338</f>
        <v>43502.55</v>
      </c>
      <c r="K352" s="47">
        <f>K338+K351</f>
        <v>20108.04</v>
      </c>
      <c r="L352" s="41">
        <f>L338+L351</f>
        <v>442801.93000000005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2004.8</v>
      </c>
      <c r="G358" s="18">
        <v>153.33000000000001</v>
      </c>
      <c r="H358" s="18">
        <f>408485*0.65</f>
        <v>265515.25</v>
      </c>
      <c r="I358" s="18">
        <f>24.79*0.65</f>
        <v>16.113499999999998</v>
      </c>
      <c r="J358" s="18">
        <f>6682*0.65</f>
        <v>4343.3</v>
      </c>
      <c r="K358" s="18">
        <f>1546.79*0.65</f>
        <v>1005.4135</v>
      </c>
      <c r="L358" s="13">
        <f>SUM(F358:K358)</f>
        <v>273038.20699999999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408485-H358</f>
        <v>142969.75</v>
      </c>
      <c r="I360" s="18">
        <f>24.79-I358</f>
        <v>8.6765000000000008</v>
      </c>
      <c r="J360" s="18">
        <f>6682-J358</f>
        <v>2338.6999999999998</v>
      </c>
      <c r="K360" s="18">
        <f>1546.79-K358</f>
        <v>541.37649999999996</v>
      </c>
      <c r="L360" s="19">
        <f>SUM(F360:K360)</f>
        <v>145858.50300000003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2004.8</v>
      </c>
      <c r="G362" s="47">
        <f t="shared" si="22"/>
        <v>153.33000000000001</v>
      </c>
      <c r="H362" s="47">
        <f t="shared" si="22"/>
        <v>408485</v>
      </c>
      <c r="I362" s="47">
        <f t="shared" si="22"/>
        <v>24.79</v>
      </c>
      <c r="J362" s="47">
        <f t="shared" si="22"/>
        <v>6682</v>
      </c>
      <c r="K362" s="47">
        <f t="shared" si="22"/>
        <v>1546.79</v>
      </c>
      <c r="L362" s="47">
        <f t="shared" si="22"/>
        <v>418896.71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I358</f>
        <v>16.113499999999998</v>
      </c>
      <c r="G367" s="18"/>
      <c r="H367" s="18">
        <f>I360</f>
        <v>8.6765000000000008</v>
      </c>
      <c r="I367" s="56">
        <f>SUM(F367:H367)</f>
        <v>24.79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16.113499999999998</v>
      </c>
      <c r="G369" s="47">
        <f>SUM(G367:G368)</f>
        <v>0</v>
      </c>
      <c r="H369" s="47">
        <f>SUM(H367:H368)</f>
        <v>8.6765000000000008</v>
      </c>
      <c r="I369" s="47">
        <f>SUM(I367:I368)</f>
        <v>24.79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18.14</v>
      </c>
      <c r="I395" s="18"/>
      <c r="J395" s="24" t="s">
        <v>289</v>
      </c>
      <c r="K395" s="24" t="s">
        <v>289</v>
      </c>
      <c r="L395" s="56">
        <f t="shared" ref="L395:L400" si="26">SUM(F395:K395)</f>
        <v>18.14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30000</v>
      </c>
      <c r="H396" s="18">
        <f>28.45+0.59+6.73</f>
        <v>35.769999999999996</v>
      </c>
      <c r="I396" s="18"/>
      <c r="J396" s="24" t="s">
        <v>289</v>
      </c>
      <c r="K396" s="24" t="s">
        <v>289</v>
      </c>
      <c r="L396" s="56">
        <f t="shared" si="26"/>
        <v>30035.77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15.04</v>
      </c>
      <c r="I397" s="18"/>
      <c r="J397" s="24" t="s">
        <v>289</v>
      </c>
      <c r="K397" s="24" t="s">
        <v>289</v>
      </c>
      <c r="L397" s="56">
        <f t="shared" si="26"/>
        <v>15.04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68.949999999999989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30068.95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30000</v>
      </c>
      <c r="H408" s="47">
        <f>H393+H401+H407</f>
        <v>68.949999999999989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30068.95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130000</v>
      </c>
      <c r="K422" s="18"/>
      <c r="L422" s="56">
        <f t="shared" si="29"/>
        <v>130000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130000</v>
      </c>
      <c r="K427" s="47">
        <f t="shared" si="30"/>
        <v>0</v>
      </c>
      <c r="L427" s="47">
        <f t="shared" si="30"/>
        <v>130000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130000</v>
      </c>
      <c r="K434" s="47">
        <f t="shared" si="32"/>
        <v>0</v>
      </c>
      <c r="L434" s="47">
        <f t="shared" si="32"/>
        <v>130000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70975.92+150312.29+284949.19+5783.3+50.85</f>
        <v>512071.55</v>
      </c>
      <c r="H439" s="18"/>
      <c r="I439" s="56">
        <f t="shared" ref="I439:I445" si="33">SUM(F439:H439)</f>
        <v>512071.55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25000</v>
      </c>
      <c r="H441" s="18"/>
      <c r="I441" s="56">
        <f t="shared" si="33"/>
        <v>25000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537071.55000000005</v>
      </c>
      <c r="H446" s="13">
        <f>SUM(H439:H445)</f>
        <v>0</v>
      </c>
      <c r="I446" s="13">
        <f>SUM(I439:I445)</f>
        <v>537071.55000000005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25000</v>
      </c>
      <c r="H448" s="18"/>
      <c r="I448" s="56">
        <f>SUM(F448:H448)</f>
        <v>25000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25000</v>
      </c>
      <c r="H452" s="72">
        <f>SUM(H448:H451)</f>
        <v>0</v>
      </c>
      <c r="I452" s="72">
        <f>SUM(I448:I451)</f>
        <v>25000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512071.55</v>
      </c>
      <c r="H459" s="18"/>
      <c r="I459" s="56">
        <f t="shared" si="34"/>
        <v>512071.55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512071.55</v>
      </c>
      <c r="H460" s="83">
        <f>SUM(H454:H459)</f>
        <v>0</v>
      </c>
      <c r="I460" s="83">
        <f>SUM(I454:I459)</f>
        <v>512071.55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537071.55000000005</v>
      </c>
      <c r="H461" s="42">
        <f>H452+H460</f>
        <v>0</v>
      </c>
      <c r="I461" s="42">
        <f>I452+I460</f>
        <v>537071.55000000005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616531.5700000003</v>
      </c>
      <c r="G465" s="18">
        <v>16059.159999999974</v>
      </c>
      <c r="H465" s="18">
        <v>34806.02999999997</v>
      </c>
      <c r="I465" s="18">
        <v>3231.11</v>
      </c>
      <c r="J465" s="18">
        <v>612002.6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20500529.690000001</v>
      </c>
      <c r="G468" s="18">
        <v>411531.24</v>
      </c>
      <c r="H468" s="18">
        <f>372177.83+731+66515.35+8846.44</f>
        <v>448270.62000000005</v>
      </c>
      <c r="I468" s="18"/>
      <c r="J468" s="18">
        <f>18.14+15.04+28.45+30006.73+0.59</f>
        <v>30068.95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20500529.690000001</v>
      </c>
      <c r="G470" s="53">
        <f>SUM(G468:G469)</f>
        <v>411531.24</v>
      </c>
      <c r="H470" s="53">
        <f>SUM(H468:H469)</f>
        <v>448270.62000000005</v>
      </c>
      <c r="I470" s="53">
        <f>SUM(I468:I469)</f>
        <v>0</v>
      </c>
      <c r="J470" s="53">
        <f>SUM(J468:J469)</f>
        <v>30068.95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20336773.579999998</v>
      </c>
      <c r="G472" s="18">
        <v>418896.71</v>
      </c>
      <c r="H472" s="18">
        <f>373427.91+731+23169.75+45473.27</f>
        <v>442801.93</v>
      </c>
      <c r="I472" s="18"/>
      <c r="J472" s="18">
        <v>130000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20336773.579999998</v>
      </c>
      <c r="G474" s="53">
        <f>SUM(G472:G473)</f>
        <v>418896.71</v>
      </c>
      <c r="H474" s="53">
        <f>SUM(H472:H473)</f>
        <v>442801.93</v>
      </c>
      <c r="I474" s="53">
        <f>SUM(I472:I473)</f>
        <v>0</v>
      </c>
      <c r="J474" s="53">
        <f>SUM(J472:J473)</f>
        <v>130000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780287.68000000343</v>
      </c>
      <c r="G476" s="53">
        <f>(G465+G470)- G474</f>
        <v>8693.6899999999441</v>
      </c>
      <c r="H476" s="53">
        <f>(H465+H470)- H474</f>
        <v>40274.72000000003</v>
      </c>
      <c r="I476" s="53">
        <f>(I465+I470)- I474</f>
        <v>3231.11</v>
      </c>
      <c r="J476" s="53">
        <f>(J465+J470)- J474</f>
        <v>512071.54999999993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1462324.3375000001</v>
      </c>
      <c r="G521" s="18">
        <v>691845.3125</v>
      </c>
      <c r="H521" s="18">
        <v>113990.07949999999</v>
      </c>
      <c r="I521" s="18">
        <v>3153.7165</v>
      </c>
      <c r="J521" s="18">
        <v>117.37</v>
      </c>
      <c r="K521" s="18"/>
      <c r="L521" s="88">
        <f>SUM(F521:K521)</f>
        <v>2271430.8160000006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455372.27250000002</v>
      </c>
      <c r="G523" s="18">
        <v>158981.57749999998</v>
      </c>
      <c r="H523" s="18">
        <v>154334.18050000002</v>
      </c>
      <c r="I523" s="18">
        <v>426.52349999999996</v>
      </c>
      <c r="J523" s="18"/>
      <c r="K523" s="18"/>
      <c r="L523" s="88">
        <f>SUM(F523:K523)</f>
        <v>769114.554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1917696.61</v>
      </c>
      <c r="G524" s="108">
        <f t="shared" ref="G524:L524" si="36">SUM(G521:G523)</f>
        <v>850826.89</v>
      </c>
      <c r="H524" s="108">
        <f t="shared" si="36"/>
        <v>268324.26</v>
      </c>
      <c r="I524" s="108">
        <f t="shared" si="36"/>
        <v>3580.24</v>
      </c>
      <c r="J524" s="108">
        <f t="shared" si="36"/>
        <v>117.37</v>
      </c>
      <c r="K524" s="108">
        <f t="shared" si="36"/>
        <v>0</v>
      </c>
      <c r="L524" s="89">
        <f t="shared" si="36"/>
        <v>3040545.3700000006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337427.45250000001</v>
      </c>
      <c r="G526" s="18">
        <v>197502.31340000001</v>
      </c>
      <c r="H526" s="18">
        <v>70847.72</v>
      </c>
      <c r="I526" s="18">
        <v>3264.645</v>
      </c>
      <c r="J526" s="18">
        <v>1219.9835</v>
      </c>
      <c r="K526" s="18">
        <v>54</v>
      </c>
      <c r="L526" s="88">
        <f>SUM(F526:K526)</f>
        <v>610316.11439999996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185959.3855</v>
      </c>
      <c r="G528" s="18">
        <v>111989.0546</v>
      </c>
      <c r="H528" s="18">
        <v>16080.939999999999</v>
      </c>
      <c r="I528" s="18">
        <v>2828.1729999999998</v>
      </c>
      <c r="J528" s="18">
        <v>631.63449999999989</v>
      </c>
      <c r="K528" s="18">
        <v>0</v>
      </c>
      <c r="L528" s="88">
        <f>SUM(F528:K528)</f>
        <v>317489.1876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523386.83799999999</v>
      </c>
      <c r="G529" s="89">
        <f t="shared" ref="G529:L529" si="37">SUM(G526:G528)</f>
        <v>309491.36800000002</v>
      </c>
      <c r="H529" s="89">
        <f t="shared" si="37"/>
        <v>86928.66</v>
      </c>
      <c r="I529" s="89">
        <f t="shared" si="37"/>
        <v>6092.8179999999993</v>
      </c>
      <c r="J529" s="89">
        <f t="shared" si="37"/>
        <v>1851.6179999999999</v>
      </c>
      <c r="K529" s="89">
        <f t="shared" si="37"/>
        <v>54</v>
      </c>
      <c r="L529" s="89">
        <f t="shared" si="37"/>
        <v>927805.30199999991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69231.123000000007</v>
      </c>
      <c r="I531" s="18"/>
      <c r="J531" s="18"/>
      <c r="K531" s="18"/>
      <c r="L531" s="88">
        <f>SUM(F531:K531)</f>
        <v>69231.123000000007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37278.296999999991</v>
      </c>
      <c r="I533" s="18"/>
      <c r="J533" s="18"/>
      <c r="K533" s="18"/>
      <c r="L533" s="88">
        <f>SUM(F533:K533)</f>
        <v>37278.296999999991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106509.42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106509.42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122.85000000000001</v>
      </c>
      <c r="I536" s="18"/>
      <c r="J536" s="18"/>
      <c r="K536" s="18"/>
      <c r="L536" s="88">
        <f>SUM(F536:K536)</f>
        <v>122.85000000000001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66.149999999999991</v>
      </c>
      <c r="I538" s="18"/>
      <c r="J538" s="18"/>
      <c r="K538" s="18"/>
      <c r="L538" s="88">
        <f>SUM(F538:K538)</f>
        <v>66.149999999999991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189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189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30045.33</v>
      </c>
      <c r="I541" s="18"/>
      <c r="J541" s="18"/>
      <c r="K541" s="18"/>
      <c r="L541" s="88">
        <f>SUM(F541:K541)</f>
        <v>30045.33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37776.79</v>
      </c>
      <c r="I543" s="18"/>
      <c r="J543" s="18"/>
      <c r="K543" s="18"/>
      <c r="L543" s="88">
        <f>SUM(F543:K543)</f>
        <v>37776.79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67822.12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67822.12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2441083.4479999999</v>
      </c>
      <c r="G545" s="89">
        <f t="shared" ref="G545:L545" si="41">G524+G529+G534+G539+G544</f>
        <v>1160318.2579999999</v>
      </c>
      <c r="H545" s="89">
        <f t="shared" si="41"/>
        <v>529773.46</v>
      </c>
      <c r="I545" s="89">
        <f t="shared" si="41"/>
        <v>9673.0579999999991</v>
      </c>
      <c r="J545" s="89">
        <f t="shared" si="41"/>
        <v>1968.9879999999998</v>
      </c>
      <c r="K545" s="89">
        <f t="shared" si="41"/>
        <v>54</v>
      </c>
      <c r="L545" s="89">
        <f t="shared" si="41"/>
        <v>4142871.2120000003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2271430.8160000006</v>
      </c>
      <c r="G549" s="87">
        <f>L526</f>
        <v>610316.11439999996</v>
      </c>
      <c r="H549" s="87">
        <f>L531</f>
        <v>69231.123000000007</v>
      </c>
      <c r="I549" s="87">
        <f>L536</f>
        <v>122.85000000000001</v>
      </c>
      <c r="J549" s="87">
        <f>L541</f>
        <v>30045.33</v>
      </c>
      <c r="K549" s="87">
        <f>SUM(F549:J549)</f>
        <v>2981146.2334000007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769114.554</v>
      </c>
      <c r="G551" s="87">
        <f>L528</f>
        <v>317489.1876</v>
      </c>
      <c r="H551" s="87">
        <f>L533</f>
        <v>37278.296999999991</v>
      </c>
      <c r="I551" s="87">
        <f>L538</f>
        <v>66.149999999999991</v>
      </c>
      <c r="J551" s="87">
        <f>L543</f>
        <v>37776.79</v>
      </c>
      <c r="K551" s="87">
        <f>SUM(F551:J551)</f>
        <v>1161724.9786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3040545.3700000006</v>
      </c>
      <c r="G552" s="89">
        <f t="shared" si="42"/>
        <v>927805.30199999991</v>
      </c>
      <c r="H552" s="89">
        <f t="shared" si="42"/>
        <v>106509.42</v>
      </c>
      <c r="I552" s="89">
        <f t="shared" si="42"/>
        <v>189</v>
      </c>
      <c r="J552" s="89">
        <f t="shared" si="42"/>
        <v>67822.12</v>
      </c>
      <c r="K552" s="89">
        <f t="shared" si="42"/>
        <v>4142871.2120000008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>
        <f>4.8*0.65</f>
        <v>3.12</v>
      </c>
      <c r="H562" s="18">
        <f>3941.05*0.65</f>
        <v>2561.6825000000003</v>
      </c>
      <c r="I562" s="18"/>
      <c r="J562" s="18"/>
      <c r="K562" s="18"/>
      <c r="L562" s="88">
        <f>SUM(F562:K562)</f>
        <v>2564.8025000000002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>
        <f>4.8-G562</f>
        <v>1.6799999999999997</v>
      </c>
      <c r="H564" s="18">
        <f>3941.05-H562</f>
        <v>1379.3674999999998</v>
      </c>
      <c r="I564" s="18"/>
      <c r="J564" s="18"/>
      <c r="K564" s="18"/>
      <c r="L564" s="88">
        <f>SUM(F564:K564)</f>
        <v>1381.0474999999999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4.8</v>
      </c>
      <c r="H565" s="89">
        <f t="shared" si="44"/>
        <v>3941.05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3945.8500000000004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4.8</v>
      </c>
      <c r="H571" s="89">
        <f t="shared" si="46"/>
        <v>3941.05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3945.8500000000004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11456.94</v>
      </c>
      <c r="I579" s="87">
        <f t="shared" si="47"/>
        <v>11456.94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95174.64</v>
      </c>
      <c r="G582" s="18"/>
      <c r="H582" s="18">
        <v>128640.85</v>
      </c>
      <c r="I582" s="87">
        <f t="shared" si="47"/>
        <v>223815.49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102348.6</v>
      </c>
      <c r="I584" s="87">
        <f t="shared" si="47"/>
        <v>102348.6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705051*0.65</f>
        <v>458283.15</v>
      </c>
      <c r="I591" s="18"/>
      <c r="J591" s="18">
        <f>705051-H591</f>
        <v>246767.84999999998</v>
      </c>
      <c r="K591" s="104">
        <f t="shared" ref="K591:K597" si="48">SUM(H591:J591)</f>
        <v>705051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29080.99+964.34</f>
        <v>30045.33</v>
      </c>
      <c r="I592" s="18"/>
      <c r="J592" s="18">
        <v>37776.79</v>
      </c>
      <c r="K592" s="104">
        <f t="shared" si="48"/>
        <v>67822.12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11162</v>
      </c>
      <c r="K593" s="104">
        <f t="shared" si="48"/>
        <v>11162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>
        <v>66599.179999999993</v>
      </c>
      <c r="K594" s="104">
        <f t="shared" si="48"/>
        <v>66599.179999999993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4454.14+3749.65+22760.45</f>
        <v>30964.240000000002</v>
      </c>
      <c r="I595" s="18"/>
      <c r="J595" s="18">
        <v>9234.42</v>
      </c>
      <c r="K595" s="104">
        <f t="shared" si="48"/>
        <v>40198.660000000003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4050.6+0.65*17376.03</f>
        <v>15345.0195</v>
      </c>
      <c r="I597" s="18"/>
      <c r="J597" s="18">
        <f>17376.03-(0.65*17376.03)</f>
        <v>6081.6104999999989</v>
      </c>
      <c r="K597" s="104">
        <f t="shared" si="48"/>
        <v>21426.629999999997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534637.73950000003</v>
      </c>
      <c r="I598" s="108">
        <f>SUM(I591:I597)</f>
        <v>0</v>
      </c>
      <c r="J598" s="108">
        <f>SUM(J591:J597)</f>
        <v>377621.85049999994</v>
      </c>
      <c r="K598" s="108">
        <f>SUM(K591:K597)</f>
        <v>912259.59000000008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204934.47-130000+13344.36+(0.65*300787.78)</f>
        <v>283790.88700000005</v>
      </c>
      <c r="I604" s="18"/>
      <c r="J604" s="18">
        <f>720220.41-130000-H604</f>
        <v>306429.52299999999</v>
      </c>
      <c r="K604" s="104">
        <f>SUM(H604:J604)</f>
        <v>590220.41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283790.88700000005</v>
      </c>
      <c r="I605" s="108">
        <f>SUM(I602:I604)</f>
        <v>0</v>
      </c>
      <c r="J605" s="108">
        <f>SUM(J602:J604)</f>
        <v>306429.52299999999</v>
      </c>
      <c r="K605" s="108">
        <f>SUM(K602:K604)</f>
        <v>590220.41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18680+3840</f>
        <v>22520</v>
      </c>
      <c r="G611" s="18">
        <f>1722.88+843.34+1792.67+16.17</f>
        <v>4375.0600000000004</v>
      </c>
      <c r="H611" s="18"/>
      <c r="I611" s="18">
        <v>464.17</v>
      </c>
      <c r="J611" s="18"/>
      <c r="K611" s="18"/>
      <c r="L611" s="88">
        <f>SUM(F611:K611)</f>
        <v>27359.23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22520</v>
      </c>
      <c r="G614" s="108">
        <f t="shared" si="49"/>
        <v>4375.0600000000004</v>
      </c>
      <c r="H614" s="108">
        <f t="shared" si="49"/>
        <v>0</v>
      </c>
      <c r="I614" s="108">
        <f t="shared" si="49"/>
        <v>464.17</v>
      </c>
      <c r="J614" s="108">
        <f t="shared" si="49"/>
        <v>0</v>
      </c>
      <c r="K614" s="108">
        <f t="shared" si="49"/>
        <v>0</v>
      </c>
      <c r="L614" s="89">
        <f t="shared" si="49"/>
        <v>27359.23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6703064.3500000006</v>
      </c>
      <c r="H617" s="109">
        <f>SUM(F52)</f>
        <v>6703064.3499999996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2810254.8200000003</v>
      </c>
      <c r="H618" s="109">
        <f>SUM(G52)</f>
        <v>2810254.82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2956385.75</v>
      </c>
      <c r="H619" s="109">
        <f>SUM(H52)</f>
        <v>2956385.75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3253.4900000000002</v>
      </c>
      <c r="H620" s="109">
        <f>SUM(I52)</f>
        <v>3253.4900000000002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537071.55000000005</v>
      </c>
      <c r="H621" s="109">
        <f>SUM(J52)</f>
        <v>537071.55000000005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780287.67999999993</v>
      </c>
      <c r="H622" s="109">
        <f>F476</f>
        <v>780287.68000000343</v>
      </c>
      <c r="I622" s="121" t="s">
        <v>101</v>
      </c>
      <c r="J622" s="109">
        <f t="shared" ref="J622:J655" si="50">G622-H622</f>
        <v>-3.4924596548080444E-9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8693.69</v>
      </c>
      <c r="H623" s="109">
        <f>G476</f>
        <v>8693.6899999999441</v>
      </c>
      <c r="I623" s="121" t="s">
        <v>102</v>
      </c>
      <c r="J623" s="109">
        <f t="shared" si="50"/>
        <v>5.6388671509921551E-11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40274.720000000001</v>
      </c>
      <c r="H624" s="109">
        <f>H476</f>
        <v>40274.72000000003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3231.11</v>
      </c>
      <c r="H625" s="109">
        <f>I476</f>
        <v>3231.11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512071.55</v>
      </c>
      <c r="H626" s="109">
        <f>J476</f>
        <v>512071.54999999993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20500529.690000001</v>
      </c>
      <c r="H627" s="104">
        <f>SUM(F468)</f>
        <v>20500529.690000001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411531.24</v>
      </c>
      <c r="H628" s="104">
        <f>SUM(G468)</f>
        <v>411531.24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448270.62</v>
      </c>
      <c r="H629" s="104">
        <f>SUM(H468)</f>
        <v>448270.62000000005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30068.95</v>
      </c>
      <c r="H631" s="104">
        <f>SUM(J468)</f>
        <v>30068.95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20336773.579999998</v>
      </c>
      <c r="H632" s="104">
        <f>SUM(F472)</f>
        <v>20336773.579999998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442801.93000000005</v>
      </c>
      <c r="H633" s="104">
        <f>SUM(H472)</f>
        <v>442801.93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24.79</v>
      </c>
      <c r="H634" s="104">
        <f>I369</f>
        <v>24.79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418896.71</v>
      </c>
      <c r="H635" s="104">
        <f>SUM(G472)</f>
        <v>418896.71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30068.95</v>
      </c>
      <c r="H637" s="164">
        <f>SUM(J468)</f>
        <v>30068.95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130000</v>
      </c>
      <c r="H638" s="164">
        <f>SUM(J472)</f>
        <v>130000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537071.55000000005</v>
      </c>
      <c r="H640" s="104">
        <f>SUM(G461)</f>
        <v>537071.55000000005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537071.55000000005</v>
      </c>
      <c r="H642" s="104">
        <f>SUM(I461)</f>
        <v>537071.55000000005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68.95</v>
      </c>
      <c r="H644" s="104">
        <f>H408</f>
        <v>68.949999999999989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30000</v>
      </c>
      <c r="H645" s="104">
        <f>G408</f>
        <v>30000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30068.95</v>
      </c>
      <c r="H646" s="104">
        <f>L408</f>
        <v>30068.95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912259.59000000008</v>
      </c>
      <c r="H647" s="104">
        <f>L208+L226+L244</f>
        <v>912259.59000000008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590220.41</v>
      </c>
      <c r="H648" s="104">
        <f>(J257+J338)-(J255+J336)</f>
        <v>590220.41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534637.73950000003</v>
      </c>
      <c r="H649" s="104">
        <f>H598</f>
        <v>534637.73950000003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377621.8505</v>
      </c>
      <c r="H651" s="104">
        <f>J598</f>
        <v>377621.85049999994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30000</v>
      </c>
      <c r="H655" s="104">
        <f>K266+K347</f>
        <v>30000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13729516.822999999</v>
      </c>
      <c r="G660" s="19">
        <f>(L229+L309+L359)</f>
        <v>0</v>
      </c>
      <c r="H660" s="19">
        <f>(L247+L328+L360)</f>
        <v>7438955.3969999999</v>
      </c>
      <c r="I660" s="19">
        <f>SUM(F660:H660)</f>
        <v>21168472.219999999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139515.0483701895</v>
      </c>
      <c r="G661" s="19">
        <f>(L359/IF(SUM(L358:L360)=0,1,SUM(L358:L360))*(SUM(G97:G110)))</f>
        <v>0</v>
      </c>
      <c r="H661" s="19">
        <f>(L360/IF(SUM(L358:L360)=0,1,SUM(L358:L360))*(SUM(G97:G110)))</f>
        <v>74529.701629810501</v>
      </c>
      <c r="I661" s="19">
        <f>SUM(F661:H661)</f>
        <v>214044.75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537200.24450000003</v>
      </c>
      <c r="G662" s="19">
        <f>(L226+L306)-(J226+J306)</f>
        <v>0</v>
      </c>
      <c r="H662" s="19">
        <f>(L244+L325)-(J244+J325)</f>
        <v>379483.85550000001</v>
      </c>
      <c r="I662" s="19">
        <f>SUM(F662:H662)</f>
        <v>916684.10000000009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406324.75700000004</v>
      </c>
      <c r="G663" s="199">
        <f>SUM(G575:G587)+SUM(I602:I604)+L612</f>
        <v>0</v>
      </c>
      <c r="H663" s="199">
        <f>SUM(H575:H587)+SUM(J602:J604)+L613</f>
        <v>548875.91299999994</v>
      </c>
      <c r="I663" s="19">
        <f>SUM(F663:H663)</f>
        <v>955200.66999999993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12646476.77312981</v>
      </c>
      <c r="G664" s="19">
        <f>G660-SUM(G661:G663)</f>
        <v>0</v>
      </c>
      <c r="H664" s="19">
        <f>H660-SUM(H661:H663)</f>
        <v>6436065.9268701896</v>
      </c>
      <c r="I664" s="19">
        <f>I660-SUM(I661:I663)</f>
        <v>19082542.699999999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f>308.25+327.55+61.52</f>
        <v>697.31999999999994</v>
      </c>
      <c r="G665" s="248"/>
      <c r="H665" s="248">
        <v>333.68</v>
      </c>
      <c r="I665" s="19">
        <f>SUM(F665:H665)</f>
        <v>1031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18135.830000000002</v>
      </c>
      <c r="G667" s="19" t="e">
        <f>ROUND(G664/G665,2)</f>
        <v>#DIV/0!</v>
      </c>
      <c r="H667" s="19">
        <f>ROUND(H664/H665,2)</f>
        <v>19288.14</v>
      </c>
      <c r="I667" s="19">
        <f>ROUND(I664/I665,2)</f>
        <v>18508.77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-8.94</v>
      </c>
      <c r="I670" s="19">
        <f>SUM(F670:H670)</f>
        <v>-8.94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18135.830000000002</v>
      </c>
      <c r="G672" s="19" t="e">
        <f>ROUND((G664+G669)/(G665+G670),2)</f>
        <v>#DIV/0!</v>
      </c>
      <c r="H672" s="19">
        <f>ROUND((H664+H669)/(H665+H670),2)</f>
        <v>19819.14</v>
      </c>
      <c r="I672" s="19">
        <f>ROUND((I664+I669)/(I665+I670),2)</f>
        <v>18670.669999999998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Inter-lakes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5613098.8300000001</v>
      </c>
      <c r="C9" s="229">
        <f>'DOE25'!G197+'DOE25'!G215+'DOE25'!G233+'DOE25'!G276+'DOE25'!G295+'DOE25'!G314</f>
        <v>2402530.0900000003</v>
      </c>
    </row>
    <row r="10" spans="1:3" x14ac:dyDescent="0.2">
      <c r="A10" t="s">
        <v>779</v>
      </c>
      <c r="B10" s="240">
        <v>5196390.46</v>
      </c>
      <c r="C10" s="240">
        <f>2499819.64+13929-266648.32-34178.29</f>
        <v>2212922.0300000003</v>
      </c>
    </row>
    <row r="11" spans="1:3" x14ac:dyDescent="0.2">
      <c r="A11" t="s">
        <v>780</v>
      </c>
      <c r="B11" s="240">
        <v>171477.58</v>
      </c>
      <c r="C11" s="240">
        <v>63124.2</v>
      </c>
    </row>
    <row r="12" spans="1:3" x14ac:dyDescent="0.2">
      <c r="A12" t="s">
        <v>781</v>
      </c>
      <c r="B12" s="240">
        <v>245230.79</v>
      </c>
      <c r="C12" s="240">
        <v>126483.86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5613098.8300000001</v>
      </c>
      <c r="C13" s="231">
        <f>SUM(C10:C12)</f>
        <v>2402530.0900000003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1917696.61</v>
      </c>
      <c r="C18" s="229">
        <f>'DOE25'!G198+'DOE25'!G216+'DOE25'!G234+'DOE25'!G277+'DOE25'!G296+'DOE25'!G315</f>
        <v>850826.89</v>
      </c>
    </row>
    <row r="19" spans="1:3" x14ac:dyDescent="0.2">
      <c r="A19" t="s">
        <v>779</v>
      </c>
      <c r="B19" s="240">
        <v>891197.64</v>
      </c>
      <c r="C19" s="240">
        <v>423106.48</v>
      </c>
    </row>
    <row r="20" spans="1:3" x14ac:dyDescent="0.2">
      <c r="A20" t="s">
        <v>780</v>
      </c>
      <c r="B20" s="240">
        <v>1010987.97</v>
      </c>
      <c r="C20" s="240">
        <v>413543.94</v>
      </c>
    </row>
    <row r="21" spans="1:3" x14ac:dyDescent="0.2">
      <c r="A21" t="s">
        <v>781</v>
      </c>
      <c r="B21" s="240">
        <v>15511</v>
      </c>
      <c r="C21" s="240">
        <f>14024.16+152.31</f>
        <v>14176.47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1917696.6099999999</v>
      </c>
      <c r="C22" s="231">
        <f>SUM(C19:C21)</f>
        <v>850826.8899999999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268939.95</v>
      </c>
      <c r="C36" s="235">
        <f>'DOE25'!G200+'DOE25'!G218+'DOE25'!G236+'DOE25'!G279+'DOE25'!G298+'DOE25'!G317</f>
        <v>47759.43</v>
      </c>
    </row>
    <row r="37" spans="1:3" x14ac:dyDescent="0.2">
      <c r="A37" t="s">
        <v>779</v>
      </c>
      <c r="B37" s="240">
        <f>70955-52275</f>
        <v>18680</v>
      </c>
      <c r="C37" s="240">
        <f>1429.02+2645.09+74.72</f>
        <v>4148.83</v>
      </c>
    </row>
    <row r="38" spans="1:3" x14ac:dyDescent="0.2">
      <c r="A38" t="s">
        <v>780</v>
      </c>
      <c r="B38" s="240">
        <v>3840</v>
      </c>
      <c r="C38" s="240">
        <f>293.76+413.57+15.36</f>
        <v>722.68999999999994</v>
      </c>
    </row>
    <row r="39" spans="1:3" x14ac:dyDescent="0.2">
      <c r="A39" t="s">
        <v>781</v>
      </c>
      <c r="B39" s="240">
        <f>194144.95+52275</f>
        <v>246419.95</v>
      </c>
      <c r="C39" s="240">
        <v>42887.91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268939.95</v>
      </c>
      <c r="C40" s="231">
        <f>SUM(C37:C39)</f>
        <v>47759.43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J42" sqref="J4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Inter-lakes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11594600.150000002</v>
      </c>
      <c r="D5" s="20">
        <f>SUM('DOE25'!L197:L200)+SUM('DOE25'!L215:L218)+SUM('DOE25'!L233:L236)-F5-G5</f>
        <v>11491756.860000003</v>
      </c>
      <c r="E5" s="243"/>
      <c r="F5" s="255">
        <f>SUM('DOE25'!J197:J200)+SUM('DOE25'!J215:J218)+SUM('DOE25'!J233:J236)</f>
        <v>85423.6</v>
      </c>
      <c r="G5" s="53">
        <f>SUM('DOE25'!K197:K200)+SUM('DOE25'!K215:K218)+SUM('DOE25'!K233:K236)</f>
        <v>17419.690000000002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1430850.59</v>
      </c>
      <c r="D6" s="20">
        <f>'DOE25'!L202+'DOE25'!L220+'DOE25'!L238-F6-G6</f>
        <v>1428910.9200000002</v>
      </c>
      <c r="E6" s="243"/>
      <c r="F6" s="255">
        <f>'DOE25'!J202+'DOE25'!J220+'DOE25'!J238</f>
        <v>1804.6699999999998</v>
      </c>
      <c r="G6" s="53">
        <f>'DOE25'!K202+'DOE25'!K220+'DOE25'!K238</f>
        <v>135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1294033.9400000002</v>
      </c>
      <c r="D7" s="20">
        <f>'DOE25'!L203+'DOE25'!L221+'DOE25'!L239-F7-G7</f>
        <v>1126267.55</v>
      </c>
      <c r="E7" s="243"/>
      <c r="F7" s="255">
        <f>'DOE25'!J203+'DOE25'!J221+'DOE25'!J239</f>
        <v>163265.35999999999</v>
      </c>
      <c r="G7" s="53">
        <f>'DOE25'!K203+'DOE25'!K221+'DOE25'!K239</f>
        <v>4501.03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435005.74000000011</v>
      </c>
      <c r="D8" s="243"/>
      <c r="E8" s="20">
        <f>'DOE25'!L204+'DOE25'!L222+'DOE25'!L240-F8-G8-D9-D11</f>
        <v>427140.63000000012</v>
      </c>
      <c r="F8" s="255">
        <f>'DOE25'!J204+'DOE25'!J222+'DOE25'!J240</f>
        <v>0</v>
      </c>
      <c r="G8" s="53">
        <f>'DOE25'!K204+'DOE25'!K222+'DOE25'!K240</f>
        <v>7865.11</v>
      </c>
      <c r="H8" s="259"/>
    </row>
    <row r="9" spans="1:9" x14ac:dyDescent="0.2">
      <c r="A9" s="32">
        <v>2310</v>
      </c>
      <c r="B9" t="s">
        <v>818</v>
      </c>
      <c r="C9" s="245">
        <f t="shared" si="0"/>
        <v>70185.84</v>
      </c>
      <c r="D9" s="244">
        <v>70185.84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22000</v>
      </c>
      <c r="D10" s="243"/>
      <c r="E10" s="244">
        <v>22000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330765.76</v>
      </c>
      <c r="D11" s="244">
        <v>330765.76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1234902.3299999998</v>
      </c>
      <c r="D12" s="20">
        <f>'DOE25'!L205+'DOE25'!L223+'DOE25'!L241-F12-G12</f>
        <v>1224353.0999999999</v>
      </c>
      <c r="E12" s="243"/>
      <c r="F12" s="255">
        <f>'DOE25'!J205+'DOE25'!J223+'DOE25'!J241</f>
        <v>139.97999999999999</v>
      </c>
      <c r="G12" s="53">
        <f>'DOE25'!K205+'DOE25'!K223+'DOE25'!K241</f>
        <v>10409.25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20784.7</v>
      </c>
      <c r="D13" s="243"/>
      <c r="E13" s="20">
        <f>'DOE25'!L206+'DOE25'!L224+'DOE25'!L242-F13-G13</f>
        <v>16836.7</v>
      </c>
      <c r="F13" s="255">
        <f>'DOE25'!J206+'DOE25'!J224+'DOE25'!J242</f>
        <v>3948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2326817.08</v>
      </c>
      <c r="D14" s="20">
        <f>'DOE25'!L207+'DOE25'!L225+'DOE25'!L243-F14-G14</f>
        <v>2034102.83</v>
      </c>
      <c r="E14" s="243"/>
      <c r="F14" s="255">
        <f>'DOE25'!J207+'DOE25'!J225+'DOE25'!J243</f>
        <v>292136.25</v>
      </c>
      <c r="G14" s="53">
        <f>'DOE25'!K207+'DOE25'!K225+'DOE25'!K243</f>
        <v>578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912259.59000000008</v>
      </c>
      <c r="D15" s="20">
        <f>'DOE25'!L208+'DOE25'!L226+'DOE25'!L244-F15-G15</f>
        <v>912259.59000000008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656567.86</v>
      </c>
      <c r="D16" s="243"/>
      <c r="E16" s="20">
        <f>'DOE25'!L209+'DOE25'!L227+'DOE25'!L245-F16-G16</f>
        <v>656567.86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418871.92000000004</v>
      </c>
      <c r="D29" s="20">
        <f>'DOE25'!L358+'DOE25'!L359+'DOE25'!L360-'DOE25'!I367-F29-G29</f>
        <v>410643.13000000006</v>
      </c>
      <c r="E29" s="243"/>
      <c r="F29" s="255">
        <f>'DOE25'!J358+'DOE25'!J359+'DOE25'!J360</f>
        <v>6682</v>
      </c>
      <c r="G29" s="53">
        <f>'DOE25'!K358+'DOE25'!K359+'DOE25'!K360</f>
        <v>1546.79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442801.93000000005</v>
      </c>
      <c r="D31" s="20">
        <f>'DOE25'!L290+'DOE25'!L309+'DOE25'!L328+'DOE25'!L333+'DOE25'!L334+'DOE25'!L335-F31-G31</f>
        <v>379191.34000000008</v>
      </c>
      <c r="E31" s="243"/>
      <c r="F31" s="255">
        <f>'DOE25'!J290+'DOE25'!J309+'DOE25'!J328+'DOE25'!J333+'DOE25'!J334+'DOE25'!J335</f>
        <v>43502.55</v>
      </c>
      <c r="G31" s="53">
        <f>'DOE25'!K290+'DOE25'!K309+'DOE25'!K328+'DOE25'!K333+'DOE25'!K334+'DOE25'!K335</f>
        <v>20108.04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19408436.920000002</v>
      </c>
      <c r="E33" s="246">
        <f>SUM(E5:E31)</f>
        <v>1122545.1900000002</v>
      </c>
      <c r="F33" s="246">
        <f>SUM(F5:F31)</f>
        <v>596902.41</v>
      </c>
      <c r="G33" s="246">
        <f>SUM(G5:G31)</f>
        <v>62562.91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1122545.1900000002</v>
      </c>
      <c r="E35" s="249"/>
    </row>
    <row r="36" spans="2:8" ht="12" thickTop="1" x14ac:dyDescent="0.2">
      <c r="B36" t="s">
        <v>815</v>
      </c>
      <c r="D36" s="20">
        <f>D33</f>
        <v>19408436.920000002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14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Inter-lakes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778717.32</v>
      </c>
      <c r="D8" s="95">
        <f>'DOE25'!G9</f>
        <v>0</v>
      </c>
      <c r="E8" s="95">
        <f>'DOE25'!H9</f>
        <v>0</v>
      </c>
      <c r="F8" s="95">
        <f>'DOE25'!I9</f>
        <v>3231.11</v>
      </c>
      <c r="G8" s="95">
        <f>'DOE25'!J9</f>
        <v>512071.55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5734722.1200000001</v>
      </c>
      <c r="D11" s="95">
        <f>'DOE25'!G12</f>
        <v>2745892.16</v>
      </c>
      <c r="E11" s="95">
        <f>'DOE25'!H12</f>
        <v>2932915.74</v>
      </c>
      <c r="F11" s="95">
        <f>'DOE25'!I12</f>
        <v>22.38</v>
      </c>
      <c r="G11" s="95">
        <f>'DOE25'!J12</f>
        <v>25000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89095.46</v>
      </c>
      <c r="D12" s="95">
        <f>'DOE25'!G13</f>
        <v>69759.47</v>
      </c>
      <c r="E12" s="95">
        <f>'DOE25'!H13</f>
        <v>23444.38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11353.45</v>
      </c>
      <c r="D13" s="95">
        <f>'DOE25'!G14</f>
        <v>-5396.81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89176</v>
      </c>
      <c r="D16" s="95">
        <f>'DOE25'!G17</f>
        <v>0</v>
      </c>
      <c r="E16" s="95">
        <f>'DOE25'!H17</f>
        <v>25.63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6703064.3500000006</v>
      </c>
      <c r="D18" s="41">
        <f>SUM(D8:D17)</f>
        <v>2810254.8200000003</v>
      </c>
      <c r="E18" s="41">
        <f>SUM(E8:E17)</f>
        <v>2956385.75</v>
      </c>
      <c r="F18" s="41">
        <f>SUM(F8:F17)</f>
        <v>3253.4900000000002</v>
      </c>
      <c r="G18" s="41">
        <f>SUM(G8:G17)</f>
        <v>537071.55000000005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5703830.2800000003</v>
      </c>
      <c r="D21" s="95">
        <f>'DOE25'!G22</f>
        <v>2801752.48</v>
      </c>
      <c r="E21" s="95">
        <f>'DOE25'!H22</f>
        <v>2907947.26</v>
      </c>
      <c r="F21" s="95">
        <f>'DOE25'!I22</f>
        <v>22.38</v>
      </c>
      <c r="G21" s="95">
        <f>'DOE25'!J22</f>
        <v>25000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46114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162712.18</v>
      </c>
      <c r="D23" s="95">
        <f>'DOE25'!G24</f>
        <v>15</v>
      </c>
      <c r="E23" s="95">
        <f>'DOE25'!H24</f>
        <v>7412.46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9325.32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794.89</v>
      </c>
      <c r="D29" s="95">
        <f>'DOE25'!G30</f>
        <v>-206.35</v>
      </c>
      <c r="E29" s="95">
        <f>'DOE25'!H30</f>
        <v>751.31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5922776.6699999999</v>
      </c>
      <c r="D31" s="41">
        <f>SUM(D21:D30)</f>
        <v>2801561.13</v>
      </c>
      <c r="E31" s="41">
        <f>SUM(E21:E30)</f>
        <v>2916111.03</v>
      </c>
      <c r="F31" s="41">
        <f>SUM(F21:F30)</f>
        <v>22.38</v>
      </c>
      <c r="G31" s="41">
        <f>SUM(G21:G30)</f>
        <v>25000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8693.69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40274.720000000001</v>
      </c>
      <c r="F47" s="95">
        <f>'DOE25'!I48</f>
        <v>3231.11</v>
      </c>
      <c r="G47" s="95">
        <f>'DOE25'!J48</f>
        <v>512071.55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391013.74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314273.94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780287.67999999993</v>
      </c>
      <c r="D50" s="41">
        <f>SUM(D34:D49)</f>
        <v>8693.69</v>
      </c>
      <c r="E50" s="41">
        <f>SUM(E34:E49)</f>
        <v>40274.720000000001</v>
      </c>
      <c r="F50" s="41">
        <f>SUM(F34:F49)</f>
        <v>3231.11</v>
      </c>
      <c r="G50" s="41">
        <f>SUM(G34:G49)</f>
        <v>512071.55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6703064.3499999996</v>
      </c>
      <c r="D51" s="41">
        <f>D50+D31</f>
        <v>2810254.82</v>
      </c>
      <c r="E51" s="41">
        <f>E50+E31</f>
        <v>2956385.75</v>
      </c>
      <c r="F51" s="41">
        <f>F50+F31</f>
        <v>3253.4900000000002</v>
      </c>
      <c r="G51" s="41">
        <f>G50+G31</f>
        <v>537071.55000000005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13274516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76512.149999999994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2047.38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68.95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214044.75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35684.870000000003</v>
      </c>
      <c r="D61" s="95">
        <f>SUM('DOE25'!G98:G110)</f>
        <v>0</v>
      </c>
      <c r="E61" s="95">
        <f>SUM('DOE25'!H98:H110)</f>
        <v>80092.790000000008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114244.4</v>
      </c>
      <c r="D62" s="130">
        <f>SUM(D57:D61)</f>
        <v>214044.75</v>
      </c>
      <c r="E62" s="130">
        <f>SUM(E57:E61)</f>
        <v>80092.790000000008</v>
      </c>
      <c r="F62" s="130">
        <f>SUM(F57:F61)</f>
        <v>0</v>
      </c>
      <c r="G62" s="130">
        <f>SUM(G57:G61)</f>
        <v>68.95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13388760.4</v>
      </c>
      <c r="D63" s="22">
        <f>D56+D62</f>
        <v>214044.75</v>
      </c>
      <c r="E63" s="22">
        <f>E56+E62</f>
        <v>80092.790000000008</v>
      </c>
      <c r="F63" s="22">
        <f>F56+F62</f>
        <v>0</v>
      </c>
      <c r="G63" s="22">
        <f>G56+G62</f>
        <v>68.95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248981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6549932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6798913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60286.38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41852.120000000003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12106.2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6072.32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114244.7</v>
      </c>
      <c r="D78" s="130">
        <f>SUM(D72:D77)</f>
        <v>6072.32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6913157.7000000002</v>
      </c>
      <c r="D81" s="130">
        <f>SUM(D79:D80)+D78+D70</f>
        <v>6072.32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188537.90000000002</v>
      </c>
      <c r="D88" s="95">
        <f>SUM('DOE25'!G153:G161)</f>
        <v>191414.17</v>
      </c>
      <c r="E88" s="95">
        <f>SUM('DOE25'!H153:H161)</f>
        <v>368177.83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10073.69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198611.59000000003</v>
      </c>
      <c r="D91" s="131">
        <f>SUM(D85:D90)</f>
        <v>191414.17</v>
      </c>
      <c r="E91" s="131">
        <f>SUM(E85:E90)</f>
        <v>368177.83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</v>
      </c>
    </row>
    <row r="104" spans="1:7" ht="12.75" thickTop="1" thickBot="1" x14ac:dyDescent="0.25">
      <c r="A104" s="33" t="s">
        <v>765</v>
      </c>
      <c r="C104" s="86">
        <f>C63+C81+C91+C103</f>
        <v>20500529.690000001</v>
      </c>
      <c r="D104" s="86">
        <f>D63+D81+D91+D103</f>
        <v>411531.24</v>
      </c>
      <c r="E104" s="86">
        <f>E63+E81+E91+E103</f>
        <v>448270.62</v>
      </c>
      <c r="F104" s="86">
        <f>F63+F81+F91+F103</f>
        <v>0</v>
      </c>
      <c r="G104" s="86">
        <f>G63+G81+G103</f>
        <v>30068.95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8016995.5800000001</v>
      </c>
      <c r="D109" s="24" t="s">
        <v>289</v>
      </c>
      <c r="E109" s="95">
        <f>('DOE25'!L276)+('DOE25'!L295)+('DOE25'!L314)</f>
        <v>314497.75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3040545.3700000006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102348.6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434710.6</v>
      </c>
      <c r="D112" s="24" t="s">
        <v>289</v>
      </c>
      <c r="E112" s="95">
        <f>+('DOE25'!L279)+('DOE25'!L298)+('DOE25'!L317)</f>
        <v>2773.1200000000003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11594600.15</v>
      </c>
      <c r="D115" s="86">
        <f>SUM(D109:D114)</f>
        <v>0</v>
      </c>
      <c r="E115" s="86">
        <f>SUM(E109:E114)</f>
        <v>317270.87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1430850.59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1294033.94</v>
      </c>
      <c r="D119" s="24" t="s">
        <v>289</v>
      </c>
      <c r="E119" s="95">
        <f>+('DOE25'!L282)+('DOE25'!L301)+('DOE25'!L320)</f>
        <v>100998.51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835957.34000000008</v>
      </c>
      <c r="D120" s="24" t="s">
        <v>289</v>
      </c>
      <c r="E120" s="95">
        <f>+('DOE25'!L283)+('DOE25'!L302)+('DOE25'!L321)</f>
        <v>20108.04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1234902.3299999998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20784.7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2326817.08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912259.59000000008</v>
      </c>
      <c r="D124" s="24" t="s">
        <v>289</v>
      </c>
      <c r="E124" s="95">
        <f>+('DOE25'!L287)+('DOE25'!L306)+('DOE25'!L325)</f>
        <v>4424.51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656567.86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418896.71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8712173.4299999997</v>
      </c>
      <c r="D128" s="86">
        <f>SUM(D118:D127)</f>
        <v>418896.71</v>
      </c>
      <c r="E128" s="86">
        <f>SUM(E118:E127)</f>
        <v>125531.05999999998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30068.95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-68.950000000000728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30000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20336773.579999998</v>
      </c>
      <c r="D145" s="86">
        <f>(D115+D128+D144)</f>
        <v>418896.71</v>
      </c>
      <c r="E145" s="86">
        <f>(E115+E128+E144)</f>
        <v>442801.93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Inter-lakes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18136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19819</v>
      </c>
    </row>
    <row r="7" spans="1:4" x14ac:dyDescent="0.2">
      <c r="B7" t="s">
        <v>705</v>
      </c>
      <c r="C7" s="179">
        <f>IF('DOE25'!I665+'DOE25'!I670=0,0,ROUND('DOE25'!I672,0))</f>
        <v>18671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8331493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3040545</v>
      </c>
      <c r="D11" s="182">
        <f>ROUND((C11/$C$28)*100,1)</f>
        <v>14.5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102349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437484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1430851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1395032</v>
      </c>
      <c r="D16" s="182">
        <f t="shared" si="0"/>
        <v>6.7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1512633</v>
      </c>
      <c r="D17" s="182">
        <f t="shared" si="0"/>
        <v>7.2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1234902</v>
      </c>
      <c r="D18" s="182">
        <f t="shared" si="0"/>
        <v>5.9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20785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2326817</v>
      </c>
      <c r="D20" s="182">
        <f t="shared" si="0"/>
        <v>11.1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916684</v>
      </c>
      <c r="D21" s="182">
        <f t="shared" si="0"/>
        <v>4.4000000000000004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204852.25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20954427.25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20954427.25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13274516</v>
      </c>
      <c r="D35" s="182">
        <f t="shared" ref="D35:D40" si="1">ROUND((C35/$C$41)*100,1)</f>
        <v>62.8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194406.13999999873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6798913</v>
      </c>
      <c r="D37" s="182">
        <f t="shared" si="1"/>
        <v>32.200000000000003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120317</v>
      </c>
      <c r="D38" s="182">
        <f t="shared" si="1"/>
        <v>0.6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758204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21146356.140000001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19" sqref="C19:M1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Inter-lakes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7</v>
      </c>
      <c r="B4" s="219">
        <v>12</v>
      </c>
      <c r="C4" s="285" t="s">
        <v>911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9</v>
      </c>
      <c r="B5" s="219">
        <v>12</v>
      </c>
      <c r="C5" s="285" t="s">
        <v>911</v>
      </c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17</v>
      </c>
      <c r="B6" s="219">
        <v>9</v>
      </c>
      <c r="C6" s="285" t="s">
        <v>913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2014-08-28T18:09:09Z</cp:lastPrinted>
  <dcterms:created xsi:type="dcterms:W3CDTF">1997-12-04T19:04:30Z</dcterms:created>
  <dcterms:modified xsi:type="dcterms:W3CDTF">2014-12-05T16:11:59Z</dcterms:modified>
</cp:coreProperties>
</file>