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0" i="12" l="1"/>
  <c r="F526" i="1"/>
  <c r="G523" i="1"/>
  <c r="F523" i="1"/>
  <c r="J521" i="1"/>
  <c r="I521" i="1"/>
  <c r="H521" i="1"/>
  <c r="G521" i="1"/>
  <c r="F521" i="1"/>
  <c r="L521" i="1" s="1"/>
  <c r="J523" i="1"/>
  <c r="I523" i="1"/>
  <c r="H523" i="1"/>
  <c r="J522" i="1"/>
  <c r="I522" i="1"/>
  <c r="H522" i="1"/>
  <c r="G522" i="1"/>
  <c r="F522" i="1"/>
  <c r="L522" i="1" s="1"/>
  <c r="F550" i="1" s="1"/>
  <c r="I528" i="1"/>
  <c r="H528" i="1"/>
  <c r="G528" i="1"/>
  <c r="F528" i="1"/>
  <c r="K527" i="1"/>
  <c r="J527" i="1"/>
  <c r="H527" i="1"/>
  <c r="G527" i="1"/>
  <c r="F527" i="1"/>
  <c r="K526" i="1"/>
  <c r="J526" i="1"/>
  <c r="H526" i="1"/>
  <c r="L526" i="1" s="1"/>
  <c r="G526" i="1"/>
  <c r="I527" i="1"/>
  <c r="I526" i="1"/>
  <c r="H543" i="1"/>
  <c r="H542" i="1"/>
  <c r="H541" i="1"/>
  <c r="H514" i="1"/>
  <c r="I595" i="1"/>
  <c r="I598" i="1" s="1"/>
  <c r="H650" i="1" s="1"/>
  <c r="I594" i="1"/>
  <c r="J595" i="1"/>
  <c r="J594" i="1"/>
  <c r="J592" i="1"/>
  <c r="I592" i="1"/>
  <c r="H592" i="1"/>
  <c r="H595" i="1"/>
  <c r="G456" i="1"/>
  <c r="H458" i="1"/>
  <c r="I458" i="1" s="1"/>
  <c r="J39" i="1" s="1"/>
  <c r="G38" i="2"/>
  <c r="H457" i="1"/>
  <c r="F45" i="1"/>
  <c r="C44" i="2"/>
  <c r="F44" i="1"/>
  <c r="H468" i="1"/>
  <c r="F50" i="1"/>
  <c r="F29" i="1"/>
  <c r="C28" i="2" s="1"/>
  <c r="F17" i="1"/>
  <c r="C16" i="2"/>
  <c r="F13" i="1"/>
  <c r="F9" i="1"/>
  <c r="C45" i="2"/>
  <c r="G51" i="1"/>
  <c r="G623" i="1" s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F43" i="2"/>
  <c r="E43" i="2"/>
  <c r="D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C122" i="2" s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C12" i="10" s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C121" i="2" s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F31" i="13" s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309" i="1" s="1"/>
  <c r="L297" i="1"/>
  <c r="L298" i="1"/>
  <c r="L300" i="1"/>
  <c r="L301" i="1"/>
  <c r="L302" i="1"/>
  <c r="L303" i="1"/>
  <c r="L304" i="1"/>
  <c r="L305" i="1"/>
  <c r="L306" i="1"/>
  <c r="L307" i="1"/>
  <c r="E125" i="2"/>
  <c r="L314" i="1"/>
  <c r="L315" i="1"/>
  <c r="L316" i="1"/>
  <c r="L317" i="1"/>
  <c r="L319" i="1"/>
  <c r="L320" i="1"/>
  <c r="E119" i="2"/>
  <c r="L321" i="1"/>
  <c r="L322" i="1"/>
  <c r="L323" i="1"/>
  <c r="L324" i="1"/>
  <c r="E123" i="2" s="1"/>
  <c r="L325" i="1"/>
  <c r="H662" i="1" s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9" i="2"/>
  <c r="G61" i="2"/>
  <c r="G62" i="2" s="1"/>
  <c r="F2" i="11"/>
  <c r="L613" i="1"/>
  <c r="H663" i="1"/>
  <c r="L612" i="1"/>
  <c r="G663" i="1" s="1"/>
  <c r="I663" i="1" s="1"/>
  <c r="L611" i="1"/>
  <c r="F663" i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F121" i="1"/>
  <c r="F140" i="1" s="1"/>
  <c r="C38" i="10" s="1"/>
  <c r="F136" i="1"/>
  <c r="G121" i="1"/>
  <c r="G140" i="1" s="1"/>
  <c r="G136" i="1"/>
  <c r="H121" i="1"/>
  <c r="H140" i="1" s="1"/>
  <c r="H136" i="1"/>
  <c r="I121" i="1"/>
  <c r="I136" i="1"/>
  <c r="J121" i="1"/>
  <c r="J140" i="1" s="1"/>
  <c r="J193" i="1" s="1"/>
  <c r="J136" i="1"/>
  <c r="F147" i="1"/>
  <c r="F162" i="1"/>
  <c r="F169" i="1" s="1"/>
  <c r="G147" i="1"/>
  <c r="G162" i="1"/>
  <c r="H147" i="1"/>
  <c r="H162" i="1"/>
  <c r="I147" i="1"/>
  <c r="I162" i="1"/>
  <c r="I169" i="1" s="1"/>
  <c r="L250" i="1"/>
  <c r="L332" i="1"/>
  <c r="E113" i="2"/>
  <c r="L254" i="1"/>
  <c r="L268" i="1"/>
  <c r="L269" i="1"/>
  <c r="L349" i="1"/>
  <c r="L350" i="1"/>
  <c r="E143" i="2" s="1"/>
  <c r="I665" i="1"/>
  <c r="I670" i="1"/>
  <c r="I669" i="1"/>
  <c r="C42" i="10"/>
  <c r="L374" i="1"/>
  <c r="L375" i="1"/>
  <c r="L376" i="1"/>
  <c r="L377" i="1"/>
  <c r="L378" i="1"/>
  <c r="L382" i="1" s="1"/>
  <c r="L379" i="1"/>
  <c r="L380" i="1"/>
  <c r="B2" i="10"/>
  <c r="L344" i="1"/>
  <c r="E134" i="2" s="1"/>
  <c r="L345" i="1"/>
  <c r="L346" i="1"/>
  <c r="E137" i="2"/>
  <c r="L347" i="1"/>
  <c r="K351" i="1"/>
  <c r="F549" i="1"/>
  <c r="L523" i="1"/>
  <c r="F551" i="1"/>
  <c r="L531" i="1"/>
  <c r="H549" i="1"/>
  <c r="L532" i="1"/>
  <c r="H550" i="1" s="1"/>
  <c r="L533" i="1"/>
  <c r="H551" i="1"/>
  <c r="L536" i="1"/>
  <c r="I549" i="1" s="1"/>
  <c r="L537" i="1"/>
  <c r="I550" i="1"/>
  <c r="L538" i="1"/>
  <c r="I551" i="1" s="1"/>
  <c r="L541" i="1"/>
  <c r="J549" i="1"/>
  <c r="L542" i="1"/>
  <c r="J550" i="1" s="1"/>
  <c r="E131" i="2"/>
  <c r="K270" i="1"/>
  <c r="J270" i="1"/>
  <c r="I270" i="1"/>
  <c r="H270" i="1"/>
  <c r="G270" i="1"/>
  <c r="F270" i="1"/>
  <c r="C132" i="2"/>
  <c r="A1" i="2"/>
  <c r="A2" i="2"/>
  <c r="C8" i="2"/>
  <c r="C18" i="2" s="1"/>
  <c r="D8" i="2"/>
  <c r="E8" i="2"/>
  <c r="F8" i="2"/>
  <c r="I439" i="1"/>
  <c r="C9" i="2"/>
  <c r="D9" i="2"/>
  <c r="E9" i="2"/>
  <c r="F9" i="2"/>
  <c r="I440" i="1"/>
  <c r="C10" i="2"/>
  <c r="C11" i="2"/>
  <c r="D11" i="2"/>
  <c r="E11" i="2"/>
  <c r="F11" i="2"/>
  <c r="I441" i="1"/>
  <c r="J12" i="1"/>
  <c r="C12" i="2"/>
  <c r="D12" i="2"/>
  <c r="E12" i="2"/>
  <c r="F12" i="2"/>
  <c r="I442" i="1"/>
  <c r="J13" i="1"/>
  <c r="G12" i="2" s="1"/>
  <c r="C13" i="2"/>
  <c r="D13" i="2"/>
  <c r="E13" i="2"/>
  <c r="F13" i="2"/>
  <c r="I443" i="1"/>
  <c r="J14" i="1"/>
  <c r="G13" i="2"/>
  <c r="F14" i="2"/>
  <c r="C15" i="2"/>
  <c r="D15" i="2"/>
  <c r="E15" i="2"/>
  <c r="F15" i="2"/>
  <c r="D16" i="2"/>
  <c r="E16" i="2"/>
  <c r="F16" i="2"/>
  <c r="I444" i="1"/>
  <c r="J17" i="1"/>
  <c r="G16" i="2"/>
  <c r="C17" i="2"/>
  <c r="D17" i="2"/>
  <c r="E17" i="2"/>
  <c r="F17" i="2"/>
  <c r="I445" i="1"/>
  <c r="J18" i="1" s="1"/>
  <c r="G17" i="2" s="1"/>
  <c r="C21" i="2"/>
  <c r="D21" i="2"/>
  <c r="E21" i="2"/>
  <c r="F21" i="2"/>
  <c r="I448" i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7" i="1"/>
  <c r="J37" i="1"/>
  <c r="G36" i="2"/>
  <c r="I459" i="1"/>
  <c r="J48" i="1" s="1"/>
  <c r="C49" i="2"/>
  <c r="C56" i="2"/>
  <c r="D56" i="2"/>
  <c r="E56" i="2"/>
  <c r="F56" i="2"/>
  <c r="C57" i="2"/>
  <c r="E57" i="2"/>
  <c r="C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/>
  <c r="E69" i="2"/>
  <c r="E70" i="2" s="1"/>
  <c r="F69" i="2"/>
  <c r="F70" i="2"/>
  <c r="F81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E91" i="2"/>
  <c r="F89" i="2"/>
  <c r="F91" i="2" s="1"/>
  <c r="C90" i="2"/>
  <c r="C93" i="2"/>
  <c r="F93" i="2"/>
  <c r="C94" i="2"/>
  <c r="F94" i="2"/>
  <c r="D96" i="2"/>
  <c r="E96" i="2"/>
  <c r="F96" i="2"/>
  <c r="G96" i="2"/>
  <c r="C97" i="2"/>
  <c r="D97" i="2"/>
  <c r="D103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D115" i="2"/>
  <c r="F115" i="2"/>
  <c r="G115" i="2"/>
  <c r="G145" i="2" s="1"/>
  <c r="E121" i="2"/>
  <c r="F128" i="2"/>
  <c r="G128" i="2"/>
  <c r="C130" i="2"/>
  <c r="D134" i="2"/>
  <c r="D144" i="2"/>
  <c r="F134" i="2"/>
  <c r="K419" i="1"/>
  <c r="K427" i="1"/>
  <c r="K433" i="1"/>
  <c r="K434" i="1" s="1"/>
  <c r="G134" i="2" s="1"/>
  <c r="G144" i="2" s="1"/>
  <c r="L263" i="1"/>
  <c r="C135" i="2" s="1"/>
  <c r="E135" i="2"/>
  <c r="L264" i="1"/>
  <c r="C136" i="2" s="1"/>
  <c r="L265" i="1"/>
  <c r="C137" i="2"/>
  <c r="C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G500" i="1"/>
  <c r="C161" i="2"/>
  <c r="H500" i="1"/>
  <c r="D161" i="2" s="1"/>
  <c r="I500" i="1"/>
  <c r="E161" i="2"/>
  <c r="J500" i="1"/>
  <c r="F161" i="2" s="1"/>
  <c r="B162" i="2"/>
  <c r="C162" i="2"/>
  <c r="D162" i="2"/>
  <c r="G162" i="2" s="1"/>
  <c r="E162" i="2"/>
  <c r="F162" i="2"/>
  <c r="B163" i="2"/>
  <c r="C163" i="2"/>
  <c r="D163" i="2"/>
  <c r="E163" i="2"/>
  <c r="F163" i="2"/>
  <c r="F503" i="1"/>
  <c r="B164" i="2" s="1"/>
  <c r="G503" i="1"/>
  <c r="C164" i="2"/>
  <c r="H503" i="1"/>
  <c r="D164" i="2" s="1"/>
  <c r="G164" i="2" s="1"/>
  <c r="I503" i="1"/>
  <c r="E164" i="2"/>
  <c r="J503" i="1"/>
  <c r="F164" i="2" s="1"/>
  <c r="F19" i="1"/>
  <c r="G617" i="1"/>
  <c r="G19" i="1"/>
  <c r="H19" i="1"/>
  <c r="G619" i="1" s="1"/>
  <c r="I19" i="1"/>
  <c r="G32" i="1"/>
  <c r="H32" i="1"/>
  <c r="I32" i="1"/>
  <c r="H51" i="1"/>
  <c r="H52" i="1"/>
  <c r="H619" i="1" s="1"/>
  <c r="I51" i="1"/>
  <c r="I52" i="1"/>
  <c r="H620" i="1"/>
  <c r="F177" i="1"/>
  <c r="I177" i="1"/>
  <c r="F183" i="1"/>
  <c r="G183" i="1"/>
  <c r="H183" i="1"/>
  <c r="I183" i="1"/>
  <c r="J183" i="1"/>
  <c r="J192" i="1" s="1"/>
  <c r="F188" i="1"/>
  <c r="G188" i="1"/>
  <c r="G192" i="1" s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H408" i="1" s="1"/>
  <c r="I393" i="1"/>
  <c r="F401" i="1"/>
  <c r="G401" i="1"/>
  <c r="G408" i="1"/>
  <c r="H645" i="1" s="1"/>
  <c r="H401" i="1"/>
  <c r="I401" i="1"/>
  <c r="F407" i="1"/>
  <c r="G407" i="1"/>
  <c r="H407" i="1"/>
  <c r="I407" i="1"/>
  <c r="I408" i="1" s="1"/>
  <c r="F408" i="1"/>
  <c r="L413" i="1"/>
  <c r="L414" i="1"/>
  <c r="L415" i="1"/>
  <c r="L419" i="1" s="1"/>
  <c r="L416" i="1"/>
  <c r="L417" i="1"/>
  <c r="L418" i="1"/>
  <c r="F419" i="1"/>
  <c r="F434" i="1" s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G434" i="1" s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F460" i="1"/>
  <c r="F461" i="1"/>
  <c r="H639" i="1"/>
  <c r="H460" i="1"/>
  <c r="F470" i="1"/>
  <c r="G470" i="1"/>
  <c r="I470" i="1"/>
  <c r="J470" i="1"/>
  <c r="F474" i="1"/>
  <c r="F476" i="1" s="1"/>
  <c r="H622" i="1" s="1"/>
  <c r="G474" i="1"/>
  <c r="G476" i="1" s="1"/>
  <c r="H623" i="1" s="1"/>
  <c r="J623" i="1" s="1"/>
  <c r="H474" i="1"/>
  <c r="I474" i="1"/>
  <c r="I476" i="1"/>
  <c r="H625" i="1"/>
  <c r="J474" i="1"/>
  <c r="J476" i="1"/>
  <c r="H626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L562" i="1"/>
  <c r="L563" i="1"/>
  <c r="L564" i="1"/>
  <c r="L565" i="1" s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3" i="1"/>
  <c r="K594" i="1"/>
  <c r="K595" i="1"/>
  <c r="K596" i="1"/>
  <c r="K597" i="1"/>
  <c r="H598" i="1"/>
  <c r="H649" i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20" i="1"/>
  <c r="G625" i="1"/>
  <c r="H627" i="1"/>
  <c r="H628" i="1"/>
  <c r="H630" i="1"/>
  <c r="H631" i="1"/>
  <c r="H632" i="1"/>
  <c r="H633" i="1"/>
  <c r="H635" i="1"/>
  <c r="H636" i="1"/>
  <c r="H637" i="1"/>
  <c r="H638" i="1"/>
  <c r="G639" i="1"/>
  <c r="J639" i="1" s="1"/>
  <c r="G643" i="1"/>
  <c r="J643" i="1" s="1"/>
  <c r="H643" i="1"/>
  <c r="G644" i="1"/>
  <c r="G649" i="1"/>
  <c r="J649" i="1" s="1"/>
  <c r="G650" i="1"/>
  <c r="G652" i="1"/>
  <c r="H652" i="1"/>
  <c r="J652" i="1" s="1"/>
  <c r="G653" i="1"/>
  <c r="J653" i="1" s="1"/>
  <c r="H653" i="1"/>
  <c r="G654" i="1"/>
  <c r="J654" i="1" s="1"/>
  <c r="H654" i="1"/>
  <c r="H655" i="1"/>
  <c r="J655" i="1"/>
  <c r="C35" i="10"/>
  <c r="I192" i="1"/>
  <c r="G169" i="1"/>
  <c r="G193" i="1" s="1"/>
  <c r="G628" i="1" s="1"/>
  <c r="J628" i="1" s="1"/>
  <c r="I140" i="1"/>
  <c r="G571" i="1"/>
  <c r="I434" i="1"/>
  <c r="I338" i="1"/>
  <c r="I352" i="1"/>
  <c r="G661" i="1"/>
  <c r="C119" i="2"/>
  <c r="C112" i="2"/>
  <c r="E109" i="2"/>
  <c r="E8" i="13"/>
  <c r="C8" i="13" s="1"/>
  <c r="J257" i="1"/>
  <c r="J271" i="1"/>
  <c r="E112" i="2"/>
  <c r="C110" i="2"/>
  <c r="H257" i="1"/>
  <c r="H271" i="1"/>
  <c r="G651" i="1"/>
  <c r="F257" i="1"/>
  <c r="F271" i="1"/>
  <c r="C11" i="10"/>
  <c r="G257" i="1"/>
  <c r="G271" i="1" s="1"/>
  <c r="L247" i="1"/>
  <c r="J10" i="1"/>
  <c r="G9" i="2"/>
  <c r="F32" i="1"/>
  <c r="A22" i="12"/>
  <c r="A31" i="12"/>
  <c r="A13" i="12"/>
  <c r="L524" i="1"/>
  <c r="L534" i="1"/>
  <c r="F571" i="1"/>
  <c r="K571" i="1"/>
  <c r="G160" i="2"/>
  <c r="J650" i="1"/>
  <c r="L614" i="1"/>
  <c r="H644" i="1"/>
  <c r="J644" i="1" s="1"/>
  <c r="C138" i="2"/>
  <c r="B161" i="2"/>
  <c r="G161" i="2"/>
  <c r="K500" i="1"/>
  <c r="G636" i="1"/>
  <c r="J636" i="1"/>
  <c r="L270" i="1"/>
  <c r="F552" i="1"/>
  <c r="F112" i="1"/>
  <c r="F662" i="1"/>
  <c r="L229" i="1"/>
  <c r="G660" i="1"/>
  <c r="G664" i="1" s="1"/>
  <c r="G667" i="1" s="1"/>
  <c r="C109" i="2"/>
  <c r="C10" i="10"/>
  <c r="G645" i="1"/>
  <c r="J645" i="1"/>
  <c r="L570" i="1"/>
  <c r="K545" i="1"/>
  <c r="H461" i="1"/>
  <c r="H641" i="1"/>
  <c r="J434" i="1"/>
  <c r="F338" i="1"/>
  <c r="F352" i="1"/>
  <c r="J22" i="1"/>
  <c r="J32" i="1"/>
  <c r="I452" i="1"/>
  <c r="D127" i="2"/>
  <c r="D128" i="2"/>
  <c r="D145" i="2" s="1"/>
  <c r="F661" i="1"/>
  <c r="D18" i="13"/>
  <c r="C18" i="13" s="1"/>
  <c r="D15" i="13"/>
  <c r="C15" i="13" s="1"/>
  <c r="C123" i="2"/>
  <c r="C20" i="10"/>
  <c r="C18" i="10"/>
  <c r="D12" i="13"/>
  <c r="C12" i="13" s="1"/>
  <c r="C118" i="2"/>
  <c r="C15" i="10"/>
  <c r="C125" i="2"/>
  <c r="C19" i="10"/>
  <c r="E13" i="13"/>
  <c r="C13" i="13" s="1"/>
  <c r="E122" i="2"/>
  <c r="E118" i="2"/>
  <c r="C111" i="2"/>
  <c r="H470" i="1"/>
  <c r="H476" i="1"/>
  <c r="H624" i="1"/>
  <c r="H629" i="1"/>
  <c r="G52" i="1"/>
  <c r="H618" i="1"/>
  <c r="J618" i="1"/>
  <c r="L211" i="1"/>
  <c r="I545" i="1"/>
  <c r="H434" i="1"/>
  <c r="H338" i="1"/>
  <c r="H352" i="1"/>
  <c r="L256" i="1"/>
  <c r="L257" i="1" s="1"/>
  <c r="L271" i="1" s="1"/>
  <c r="G632" i="1" s="1"/>
  <c r="J632" i="1" s="1"/>
  <c r="J619" i="1"/>
  <c r="D31" i="2"/>
  <c r="C113" i="2"/>
  <c r="C23" i="10"/>
  <c r="G56" i="2"/>
  <c r="G63" i="2" s="1"/>
  <c r="G104" i="2" s="1"/>
  <c r="J112" i="1"/>
  <c r="C13" i="10"/>
  <c r="G662" i="1"/>
  <c r="C124" i="2"/>
  <c r="C128" i="2" s="1"/>
  <c r="H647" i="1"/>
  <c r="C16" i="10"/>
  <c r="D6" i="13"/>
  <c r="C6" i="13"/>
  <c r="E16" i="13"/>
  <c r="C16" i="13" s="1"/>
  <c r="E78" i="2"/>
  <c r="E81" i="2" s="1"/>
  <c r="D7" i="13"/>
  <c r="C7" i="13"/>
  <c r="C103" i="2"/>
  <c r="F50" i="2"/>
  <c r="D91" i="2"/>
  <c r="F62" i="2"/>
  <c r="F63" i="2"/>
  <c r="G159" i="2"/>
  <c r="G103" i="2"/>
  <c r="F103" i="2"/>
  <c r="C62" i="2"/>
  <c r="C63" i="2" s="1"/>
  <c r="D29" i="13"/>
  <c r="C29" i="13"/>
  <c r="D14" i="13"/>
  <c r="C14" i="13" s="1"/>
  <c r="D5" i="13"/>
  <c r="C5" i="13" s="1"/>
  <c r="F78" i="2"/>
  <c r="D62" i="2"/>
  <c r="D63" i="2" s="1"/>
  <c r="D104" i="2" s="1"/>
  <c r="C78" i="2"/>
  <c r="C81" i="2"/>
  <c r="D50" i="2"/>
  <c r="D51" i="2"/>
  <c r="F31" i="2"/>
  <c r="F51" i="2" s="1"/>
  <c r="E31" i="2"/>
  <c r="E51" i="2" s="1"/>
  <c r="F18" i="2"/>
  <c r="E103" i="2"/>
  <c r="G81" i="2"/>
  <c r="G157" i="2"/>
  <c r="G163" i="2"/>
  <c r="G158" i="2"/>
  <c r="G156" i="2"/>
  <c r="C91" i="2"/>
  <c r="E18" i="2"/>
  <c r="D18" i="2"/>
  <c r="E50" i="2"/>
  <c r="G624" i="1"/>
  <c r="J624" i="1" s="1"/>
  <c r="G11" i="2"/>
  <c r="G47" i="2"/>
  <c r="G21" i="2"/>
  <c r="G31" i="2"/>
  <c r="I662" i="1"/>
  <c r="E33" i="13"/>
  <c r="D35" i="13"/>
  <c r="F104" i="2"/>
  <c r="C104" i="2"/>
  <c r="G672" i="1"/>
  <c r="C5" i="10"/>
  <c r="G646" i="1" l="1"/>
  <c r="G631" i="1"/>
  <c r="J631" i="1" s="1"/>
  <c r="E142" i="2"/>
  <c r="L351" i="1"/>
  <c r="C26" i="10"/>
  <c r="F51" i="1"/>
  <c r="C43" i="2"/>
  <c r="C50" i="2" s="1"/>
  <c r="K503" i="1"/>
  <c r="I661" i="1"/>
  <c r="F22" i="13"/>
  <c r="E130" i="2"/>
  <c r="E144" i="2" s="1"/>
  <c r="C29" i="10"/>
  <c r="E114" i="2"/>
  <c r="C24" i="10"/>
  <c r="C21" i="10"/>
  <c r="E124" i="2"/>
  <c r="C17" i="10"/>
  <c r="E120" i="2"/>
  <c r="E128" i="2" s="1"/>
  <c r="E111" i="2"/>
  <c r="E115" i="2" s="1"/>
  <c r="L290" i="1"/>
  <c r="G31" i="13"/>
  <c r="G33" i="13" s="1"/>
  <c r="K338" i="1"/>
  <c r="K352" i="1" s="1"/>
  <c r="F660" i="1"/>
  <c r="L337" i="1"/>
  <c r="J620" i="1"/>
  <c r="E58" i="2"/>
  <c r="E62" i="2" s="1"/>
  <c r="E63" i="2" s="1"/>
  <c r="E104" i="2" s="1"/>
  <c r="H112" i="1"/>
  <c r="C36" i="10" s="1"/>
  <c r="J641" i="1"/>
  <c r="C31" i="2"/>
  <c r="J9" i="1"/>
  <c r="I446" i="1"/>
  <c r="G642" i="1" s="1"/>
  <c r="J625" i="1"/>
  <c r="J571" i="1"/>
  <c r="L433" i="1"/>
  <c r="L434" i="1" s="1"/>
  <c r="G638" i="1" s="1"/>
  <c r="J638" i="1" s="1"/>
  <c r="G338" i="1"/>
  <c r="G352" i="1" s="1"/>
  <c r="I257" i="1"/>
  <c r="I271" i="1" s="1"/>
  <c r="K257" i="1"/>
  <c r="K271" i="1" s="1"/>
  <c r="F192" i="1"/>
  <c r="L401" i="1"/>
  <c r="L328" i="1"/>
  <c r="H660" i="1" s="1"/>
  <c r="H664" i="1" s="1"/>
  <c r="J338" i="1"/>
  <c r="J352" i="1" s="1"/>
  <c r="L362" i="1"/>
  <c r="H661" i="1"/>
  <c r="D19" i="13"/>
  <c r="C19" i="13" s="1"/>
  <c r="H648" i="1"/>
  <c r="J648" i="1" s="1"/>
  <c r="F130" i="2"/>
  <c r="F144" i="2" s="1"/>
  <c r="F145" i="2" s="1"/>
  <c r="L407" i="1"/>
  <c r="C140" i="2" s="1"/>
  <c r="C32" i="10"/>
  <c r="C131" i="2"/>
  <c r="H25" i="13"/>
  <c r="C114" i="2"/>
  <c r="C115" i="2" s="1"/>
  <c r="D17" i="13"/>
  <c r="C17" i="13" s="1"/>
  <c r="F193" i="1"/>
  <c r="G627" i="1" s="1"/>
  <c r="J627" i="1" s="1"/>
  <c r="L571" i="1"/>
  <c r="J545" i="1"/>
  <c r="J634" i="1"/>
  <c r="I552" i="1"/>
  <c r="H552" i="1"/>
  <c r="H169" i="1"/>
  <c r="C39" i="10" s="1"/>
  <c r="I193" i="1"/>
  <c r="G630" i="1" s="1"/>
  <c r="J630" i="1" s="1"/>
  <c r="A40" i="12"/>
  <c r="C25" i="10"/>
  <c r="E132" i="2"/>
  <c r="G460" i="1"/>
  <c r="G461" i="1" s="1"/>
  <c r="H640" i="1" s="1"/>
  <c r="J640" i="1" s="1"/>
  <c r="I456" i="1"/>
  <c r="K592" i="1"/>
  <c r="K598" i="1" s="1"/>
  <c r="G647" i="1" s="1"/>
  <c r="J647" i="1" s="1"/>
  <c r="J598" i="1"/>
  <c r="H651" i="1" s="1"/>
  <c r="J651" i="1" s="1"/>
  <c r="L543" i="1"/>
  <c r="H544" i="1"/>
  <c r="H545" i="1" s="1"/>
  <c r="G549" i="1"/>
  <c r="L527" i="1"/>
  <c r="G550" i="1" s="1"/>
  <c r="K550" i="1" s="1"/>
  <c r="G529" i="1"/>
  <c r="G545" i="1" s="1"/>
  <c r="L528" i="1"/>
  <c r="G551" i="1" s="1"/>
  <c r="F529" i="1"/>
  <c r="F545" i="1" s="1"/>
  <c r="H667" i="1" l="1"/>
  <c r="H672" i="1"/>
  <c r="C6" i="10" s="1"/>
  <c r="C41" i="10"/>
  <c r="D39" i="10" s="1"/>
  <c r="J43" i="1"/>
  <c r="I460" i="1"/>
  <c r="I461" i="1" s="1"/>
  <c r="H642" i="1" s="1"/>
  <c r="G8" i="2"/>
  <c r="G18" i="2" s="1"/>
  <c r="J19" i="1"/>
  <c r="G621" i="1" s="1"/>
  <c r="I660" i="1"/>
  <c r="I664" i="1" s="1"/>
  <c r="F664" i="1"/>
  <c r="E145" i="2"/>
  <c r="F52" i="1"/>
  <c r="H617" i="1" s="1"/>
  <c r="J617" i="1" s="1"/>
  <c r="G622" i="1"/>
  <c r="J622" i="1" s="1"/>
  <c r="C22" i="13"/>
  <c r="F33" i="13"/>
  <c r="L529" i="1"/>
  <c r="C25" i="13"/>
  <c r="H33" i="13"/>
  <c r="C139" i="2"/>
  <c r="C141" i="2" s="1"/>
  <c r="L408" i="1"/>
  <c r="L544" i="1"/>
  <c r="J551" i="1"/>
  <c r="J552" i="1" s="1"/>
  <c r="K551" i="1"/>
  <c r="G552" i="1"/>
  <c r="K549" i="1"/>
  <c r="K552" i="1" s="1"/>
  <c r="C144" i="2"/>
  <c r="C145" i="2" s="1"/>
  <c r="G635" i="1"/>
  <c r="J635" i="1" s="1"/>
  <c r="C27" i="10"/>
  <c r="J642" i="1"/>
  <c r="H193" i="1"/>
  <c r="G629" i="1" s="1"/>
  <c r="J629" i="1" s="1"/>
  <c r="L338" i="1"/>
  <c r="L352" i="1" s="1"/>
  <c r="G633" i="1" s="1"/>
  <c r="J633" i="1" s="1"/>
  <c r="D31" i="13"/>
  <c r="C31" i="13" s="1"/>
  <c r="C51" i="2"/>
  <c r="G637" i="1" l="1"/>
  <c r="J637" i="1" s="1"/>
  <c r="H646" i="1"/>
  <c r="J646" i="1" s="1"/>
  <c r="D33" i="13"/>
  <c r="D36" i="13" s="1"/>
  <c r="D36" i="10"/>
  <c r="D27" i="10"/>
  <c r="L545" i="1"/>
  <c r="F667" i="1"/>
  <c r="F672" i="1"/>
  <c r="C4" i="10" s="1"/>
  <c r="D40" i="10"/>
  <c r="D35" i="10"/>
  <c r="D37" i="10"/>
  <c r="D38" i="10"/>
  <c r="C28" i="10"/>
  <c r="I672" i="1"/>
  <c r="C7" i="10" s="1"/>
  <c r="I667" i="1"/>
  <c r="G42" i="2"/>
  <c r="G50" i="2" s="1"/>
  <c r="G51" i="2" s="1"/>
  <c r="J51" i="1"/>
  <c r="D41" i="10" l="1"/>
  <c r="G626" i="1"/>
  <c r="J52" i="1"/>
  <c r="H621" i="1" s="1"/>
  <c r="J621" i="1" s="1"/>
  <c r="D22" i="10"/>
  <c r="C30" i="10"/>
  <c r="D16" i="10"/>
  <c r="D13" i="10"/>
  <c r="D10" i="10"/>
  <c r="D15" i="10"/>
  <c r="D11" i="10"/>
  <c r="D20" i="10"/>
  <c r="D12" i="10"/>
  <c r="D19" i="10"/>
  <c r="D23" i="10"/>
  <c r="D18" i="10"/>
  <c r="D26" i="10"/>
  <c r="D25" i="10"/>
  <c r="D24" i="10"/>
  <c r="D17" i="10"/>
  <c r="D21" i="10"/>
  <c r="D28" i="10" l="1"/>
  <c r="J626" i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<sst xmlns="http://schemas.openxmlformats.org/spreadsheetml/2006/main" count="3967" uniqueCount="923">
  <si>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</si>
  <si>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</si>
  <si>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</si>
  <si>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</si>
  <si>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</si>
  <si>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</si>
  <si>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</si>
  <si>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</si>
  <si>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</si>
  <si>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</si>
  <si>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</si>
  <si>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</si>
  <si>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</si>
  <si>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</si>
  <si>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</si>
  <si>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</si>
  <si>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</si>
  <si>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</si>
  <si>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</si>
  <si>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</si>
  <si>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</si>
  <si>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</si>
  <si>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</si>
  <si>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</si>
  <si>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</si>
  <si>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</si>
  <si>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</si>
  <si>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</si>
  <si>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</si>
  <si>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</si>
  <si>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</si>
  <si>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</si>
  <si>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</si>
  <si>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</si>
  <si>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</si>
  <si>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</si>
  <si>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</si>
  <si>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</si>
  <si>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</si>
  <si>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</si>
  <si>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</si>
  <si>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</si>
  <si>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</si>
  <si>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</si>
  <si>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</si>
  <si>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</si>
  <si>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</si>
  <si>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</si>
  <si>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</si>
  <si>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</si>
  <si>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</si>
  <si>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</si>
  <si>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</si>
  <si>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</si>
  <si>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</si>
  <si>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</si>
  <si>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</si>
  <si>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</si>
  <si>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</si>
  <si>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</si>
  <si>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</si>
  <si>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</si>
  <si>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</si>
  <si>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</si>
  <si>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</si>
  <si>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</si>
  <si>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</si>
  <si>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</si>
  <si>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</si>
  <si>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</si>
  <si>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</si>
  <si>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</si>
  <si>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</si>
  <si>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</si>
  <si>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</si>
  <si>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</si>
  <si>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</si>
  <si>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</si>
  <si>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</si>
  <si>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</si>
  <si>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</si>
  <si>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</si>
  <si>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</si>
  <si>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</si>
  <si>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</si>
  <si>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</si>
  <si>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</si>
  <si>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</si>
  <si>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</si>
  <si>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</si>
  <si>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</si>
  <si>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</si>
  <si>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</si>
  <si>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</si>
  <si>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</si>
  <si>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</si>
  <si>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</si>
  <si>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</si>
  <si>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</si>
  <si>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</si>
  <si>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</si>
  <si>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</si>
  <si>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</si>
  <si>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</si>
  <si>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</si>
  <si>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</si>
  <si>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</si>
  <si>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</si>
  <si>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</si>
  <si>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</si>
  <si>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</si>
  <si>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</si>
  <si>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</si>
  <si>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</si>
  <si>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</si>
  <si>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</si>
  <si>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</si>
  <si>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</si>
  <si>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</si>
  <si>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</si>
  <si>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</si>
  <si>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</si>
  <si>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</si>
  <si>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</si>
  <si>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</si>
  <si>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</si>
  <si>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</si>
  <si>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</si>
  <si>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</si>
  <si>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</si>
  <si>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</si>
  <si>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</si>
  <si>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</si>
  <si>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</si>
  <si>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</si>
  <si>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</si>
  <si>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</si>
  <si>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</si>
  <si>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</si>
  <si>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</si>
  <si>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</si>
  <si>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</si>
  <si>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</si>
  <si>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</si>
  <si>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</si>
  <si>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</si>
  <si>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</si>
  <si>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</si>
  <si>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</si>
  <si>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</si>
  <si>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</si>
  <si>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</si>
  <si>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</si>
  <si>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</si>
  <si>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</si>
  <si>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</si>
  <si>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</si>
  <si>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</si>
  <si>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</si>
  <si>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</si>
  <si>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</si>
  <si>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</si>
  <si>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</si>
  <si>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</si>
  <si>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</si>
  <si>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</si>
  <si>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</si>
  <si>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</si>
  <si>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</si>
  <si>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</si>
  <si>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</si>
  <si>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</si>
  <si>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</si>
  <si>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</si>
  <si>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</si>
  <si>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</si>
  <si>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</si>
  <si>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</si>
  <si>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</si>
  <si>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</si>
  <si>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</si>
  <si>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</si>
  <si>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</si>
  <si>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</si>
  <si>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</si>
  <si>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</si>
  <si>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</si>
  <si>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</si>
  <si>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</si>
  <si>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</si>
  <si>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</si>
  <si>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</si>
  <si>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</si>
  <si>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</si>
  <si>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</si>
  <si>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</si>
  <si>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</si>
  <si>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</si>
  <si>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</si>
  <si>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</si>
  <si>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</si>
  <si>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</si>
  <si>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</si>
  <si>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</si>
  <si>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</si>
  <si>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</si>
  <si>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</si>
  <si>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</si>
  <si>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</si>
  <si>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</si>
  <si>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</si>
  <si>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</si>
  <si>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</si>
  <si>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</si>
  <si>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</si>
  <si>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</si>
  <si>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</si>
  <si>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</si>
  <si>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</si>
  <si>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</si>
  <si>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</si>
  <si>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</si>
  <si>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</si>
  <si>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</si>
  <si>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</si>
  <si>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</si>
  <si>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</si>
  <si>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</si>
  <si>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</si>
  <si>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</si>
  <si>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</si>
  <si>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</si>
  <si>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</si>
  <si>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</si>
  <si>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</si>
  <si>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</si>
  <si>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</si>
  <si>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</si>
  <si>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</si>
  <si>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</si>
  <si>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</si>
  <si>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</si>
  <si>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</si>
  <si>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</si>
  <si>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</si>
  <si>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</si>
  <si>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</si>
  <si>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</si>
  <si>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</si>
  <si>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</si>
  <si>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</si>
  <si>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</si>
  <si>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</si>
  <si>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</si>
  <si>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</si>
  <si>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</si>
  <si>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</si>
  <si>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</si>
  <si>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</si>
  <si>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</si>
  <si>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</si>
  <si>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</si>
  <si>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</si>
  <si>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</si>
  <si>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</si>
  <si>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</si>
  <si>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</si>
  <si>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</si>
  <si>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</si>
  <si>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</si>
  <si>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</si>
  <si>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</si>
  <si>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</si>
  <si>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</si>
  <si>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</si>
  <si>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</si>
  <si>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</si>
  <si>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</si>
  <si>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</si>
  <si>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</si>
  <si>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</si>
  <si>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</si>
  <si>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</si>
  <si>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</si>
  <si>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</si>
  <si>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</si>
  <si>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</si>
  <si>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</si>
  <si>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</si>
  <si>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</si>
  <si>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</si>
  <si>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</si>
  <si>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</si>
  <si>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</si>
  <si>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</si>
  <si>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</si>
  <si>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</si>
  <si>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</si>
  <si>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</si>
  <si>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</si>
  <si>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</si>
  <si>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</si>
  <si>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</si>
  <si>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</si>
  <si>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</si>
  <si>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</si>
  <si>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</si>
  <si>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</si>
  <si>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</si>
  <si>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</si>
  <si>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</si>
  <si>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</si>
  <si>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</si>
  <si>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</si>
  <si>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</si>
  <si>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</si>
  <si>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</si>
  <si>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</si>
  <si>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</si>
  <si>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</si>
  <si>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</si>
  <si>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</si>
  <si>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</si>
  <si>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</si>
  <si>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</si>
  <si>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</si>
  <si>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</si>
  <si>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</si>
  <si>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</si>
  <si>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</si>
  <si>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</si>
  <si>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</si>
  <si>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</si>
  <si>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</si>
  <si>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</si>
  <si>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</si>
  <si>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</si>
  <si>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</si>
  <si>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</si>
  <si>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</si>
  <si>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</si>
  <si>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</si>
  <si>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</si>
  <si>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</si>
  <si>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</si>
  <si>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</si>
  <si>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</si>
  <si>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</si>
  <si>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</si>
  <si>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</si>
  <si>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</si>
  <si>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</si>
  <si>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</si>
  <si>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</si>
  <si>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</si>
  <si>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</si>
  <si>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</si>
  <si>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</si>
  <si>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</si>
  <si>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</si>
  <si>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</si>
  <si>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</si>
  <si>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</si>
  <si>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</si>
  <si>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</si>
  <si>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</si>
  <si>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</si>
  <si>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</si>
  <si>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</si>
  <si>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</si>
  <si>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</si>
  <si>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</si>
  <si>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</si>
  <si>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</si>
  <si>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</si>
  <si>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</si>
  <si>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</si>
  <si>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</si>
  <si>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</si>
  <si>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</si>
  <si>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</si>
  <si>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</si>
  <si>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</si>
  <si>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</si>
  <si>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</si>
  <si>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</si>
  <si>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</si>
  <si>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</si>
  <si>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</si>
  <si>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</si>
  <si>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</si>
  <si>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</si>
  <si>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</si>
  <si>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</si>
  <si>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</si>
  <si>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</si>
  <si>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</si>
  <si>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</si>
  <si>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</si>
  <si>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</si>
  <si>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</si>
  <si>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</si>
  <si>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</si>
  <si>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</si>
  <si>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</si>
  <si>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</si>
  <si>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</si>
  <si>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</si>
  <si>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</si>
  <si>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</si>
  <si>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</si>
  <si>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</si>
  <si>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</si>
  <si>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</si>
  <si>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</si>
  <si>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</si>
  <si>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</si>
  <si>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</si>
  <si>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</si>
  <si>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</si>
  <si>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</si>
  <si>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</si>
  <si>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</si>
  <si>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</si>
  <si>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</si>
  <si>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</si>
  <si>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</si>
  <si>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</si>
  <si>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</si>
  <si>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</si>
  <si>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</si>
  <si>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</si>
  <si>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</si>
  <si>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</si>
  <si>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</si>
  <si>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</si>
  <si>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</si>
  <si>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</si>
  <si>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</si>
  <si>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</si>
  <si>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</si>
  <si>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</si>
  <si>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</si>
  <si>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</si>
  <si>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</si>
  <si>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</si>
  <si>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</si>
  <si>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</si>
  <si>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</si>
  <si>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</si>
  <si>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</si>
  <si>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</si>
  <si>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</si>
  <si>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</si>
  <si>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</si>
  <si>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</si>
  <si>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</si>
  <si>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</si>
  <si>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</si>
  <si>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</si>
  <si>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</si>
  <si>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</si>
  <si>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</si>
  <si>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</si>
  <si>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</si>
  <si>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</si>
  <si>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</si>
  <si>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</si>
  <si>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</si>
  <si>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</si>
  <si>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</si>
  <si>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</si>
  <si>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</si>
  <si>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</si>
  <si>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</si>
  <si>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</si>
  <si>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</si>
  <si>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</si>
  <si>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</si>
  <si>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</si>
  <si>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</si>
  <si>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</si>
  <si>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</si>
  <si>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</si>
  <si>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</si>
  <si>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</si>
  <si>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</si>
  <si>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</si>
  <si>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</si>
  <si>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</si>
  <si>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</si>
  <si>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</si>
  <si>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</si>
  <si>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</si>
  <si>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</si>
  <si>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</si>
  <si>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</si>
  <si>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</si>
  <si>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</si>
  <si>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</si>
  <si>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</si>
  <si>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</si>
  <si>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</si>
  <si>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</si>
  <si>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</si>
  <si>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</si>
  <si>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</si>
  <si>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</si>
  <si>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</si>
  <si>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</si>
  <si>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</si>
  <si>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</si>
  <si>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</si>
  <si>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</si>
  <si>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</si>
  <si>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</si>
  <si>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</si>
  <si>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</si>
  <si>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</si>
  <si>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</si>
  <si>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</si>
  <si>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</si>
  <si>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</si>
  <si>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</si>
  <si>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</si>
  <si>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</si>
  <si>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</si>
  <si>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</si>
  <si>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</si>
  <si>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</si>
  <si>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</si>
  <si>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</si>
  <si>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</si>
  <si>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</si>
  <si>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</si>
  <si>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</si>
  <si>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</si>
  <si>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</si>
  <si>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</si>
  <si>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</si>
  <si>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</si>
  <si>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</si>
  <si>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</si>
  <si>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</si>
  <si>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</si>
  <si>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</si>
  <si>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</si>
  <si>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</si>
  <si>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</si>
  <si>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</si>
  <si>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</si>
  <si>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</si>
  <si>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</si>
  <si>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</si>
  <si>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</si>
  <si>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</si>
  <si>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</si>
  <si>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</si>
  <si>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</si>
  <si>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</si>
  <si>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</si>
  <si>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</si>
  <si>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</si>
  <si>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</si>
  <si>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</si>
  <si>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</si>
  <si>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</si>
  <si>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</si>
  <si>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</si>
  <si>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</si>
  <si>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</si>
  <si>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</si>
  <si>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</si>
  <si>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</si>
  <si>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</si>
  <si>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</si>
  <si>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</si>
  <si>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</si>
  <si>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</si>
  <si>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</si>
  <si>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</si>
  <si>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</si>
  <si>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</si>
  <si>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</si>
  <si>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</si>
  <si>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</si>
  <si>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</si>
  <si>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</si>
  <si>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</si>
  <si>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</si>
  <si>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</si>
  <si>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</si>
  <si>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</si>
  <si>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</si>
  <si>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</si>
  <si>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</si>
  <si>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</si>
  <si>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</si>
  <si>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</si>
  <si>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</si>
  <si>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</si>
  <si>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</si>
  <si>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</si>
  <si>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</si>
  <si>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</si>
  <si>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</si>
  <si>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</si>
  <si>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</si>
  <si>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</si>
  <si>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</si>
  <si>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</si>
  <si>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</si>
  <si>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</si>
  <si>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</si>
  <si>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</si>
  <si>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</si>
  <si>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</si>
  <si>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</si>
  <si>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</si>
  <si>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</si>
  <si>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</si>
  <si>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</si>
  <si>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</si>
  <si>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</si>
  <si>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</si>
  <si>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</si>
  <si>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</si>
  <si>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</si>
  <si>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</si>
  <si>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</si>
  <si>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</si>
  <si>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</si>
  <si>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</si>
  <si>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</si>
  <si>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</si>
  <si>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</si>
  <si>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</si>
  <si>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</si>
  <si>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</si>
  <si>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</si>
  <si>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</si>
  <si>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</si>
  <si>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</si>
  <si>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</si>
  <si>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</si>
  <si>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</si>
  <si>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</si>
  <si>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</si>
  <si>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</si>
  <si>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</si>
  <si>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</si>
  <si>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</si>
  <si>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</si>
  <si>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</si>
  <si>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</si>
  <si>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</si>
  <si>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</si>
  <si>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</si>
  <si>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</si>
  <si>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</si>
  <si>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</si>
  <si>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</si>
  <si>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</si>
  <si>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</si>
  <si>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</si>
  <si>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</si>
  <si>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</si>
  <si>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</si>
  <si>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</si>
  <si>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</si>
  <si>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</si>
  <si>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</si>
  <si>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</si>
  <si>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</si>
  <si>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</si>
  <si>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</si>
  <si>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</si>
  <si>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</si>
  <si>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</si>
  <si>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</si>
  <si>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</si>
  <si>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</si>
  <si>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</si>
  <si>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</si>
  <si>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</si>
  <si>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</si>
  <si>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</si>
  <si>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</si>
  <si>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</si>
  <si>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</si>
  <si>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</si>
  <si>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</si>
  <si>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</si>
  <si>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</si>
  <si>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</si>
  <si>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</si>
  <si>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</si>
  <si>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</si>
  <si>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</si>
  <si>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</si>
  <si>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</si>
  <si>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</si>
  <si>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</si>
  <si>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</si>
  <si>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</si>
  <si>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</si>
  <si>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</si>
  <si>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</si>
  <si>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</si>
  <si>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</si>
  <si>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</si>
  <si>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</si>
  <si>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</si>
  <si>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</si>
  <si>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</si>
  <si>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</si>
  <si>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</si>
  <si>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</si>
  <si>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</si>
  <si>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</si>
  <si>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</si>
  <si>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</si>
  <si>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</si>
  <si>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</si>
  <si>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</si>
  <si>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</si>
  <si>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</si>
  <si>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</si>
  <si>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</si>
  <si>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</si>
  <si>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</si>
  <si>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</si>
  <si>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</si>
  <si>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</si>
  <si>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</si>
  <si>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</si>
  <si>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</si>
  <si>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</si>
  <si>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</si>
  <si>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</si>
  <si>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</si>
  <si>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</si>
  <si>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</si>
  <si>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</si>
  <si>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</si>
  <si>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</si>
  <si>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</si>
  <si>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</si>
  <si>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</si>
  <si>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</si>
  <si>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</si>
  <si>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</si>
  <si>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</si>
  <si>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</si>
  <si>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</si>
  <si>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</si>
  <si>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</si>
  <si>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</si>
  <si>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</si>
  <si>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</si>
  <si>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</si>
  <si>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</si>
  <si>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</si>
  <si>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</si>
  <si>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</si>
  <si>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</si>
  <si>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</si>
  <si>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</si>
  <si>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</si>
  <si>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</si>
  <si>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</si>
  <si>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</si>
  <si>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</si>
  <si>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</si>
  <si>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</si>
  <si>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</si>
  <si>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</si>
  <si>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</si>
  <si>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</si>
  <si>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</si>
  <si>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</si>
  <si>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</si>
  <si>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</si>
  <si>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</si>
  <si>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</si>
  <si>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</si>
  <si>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</si>
  <si>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</si>
  <si>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</si>
  <si>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</si>
  <si>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</si>
  <si>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</si>
  <si>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</si>
  <si>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</si>
  <si>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</si>
  <si>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</si>
  <si>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</si>
  <si>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</si>
  <si>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</si>
  <si>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</si>
  <si>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</si>
  <si>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</si>
  <si>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</si>
  <si>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</si>
  <si>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</si>
  <si>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</si>
  <si>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</si>
  <si>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</si>
  <si>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</si>
  <si>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</si>
  <si>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</si>
  <si>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</si>
  <si>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</si>
  <si>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</si>
  <si>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</si>
  <si>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</si>
  <si>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</si>
  <si>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</si>
  <si>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</si>
  <si>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</si>
  <si>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</si>
  <si>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</si>
  <si>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</si>
  <si>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</si>
  <si>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</si>
  <si>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</si>
  <si>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</si>
  <si>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</si>
  <si>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</si>
  <si>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</si>
  <si>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</si>
  <si>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</si>
  <si>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</si>
  <si>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</si>
  <si>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</si>
  <si>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</si>
  <si>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</si>
  <si>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</si>
  <si>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</si>
  <si>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</si>
  <si>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</si>
  <si>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</si>
  <si>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</si>
  <si>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</si>
  <si>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</si>
  <si>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</si>
  <si>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</si>
  <si>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</si>
  <si>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</si>
  <si>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</si>
  <si>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</si>
  <si>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</si>
  <si>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</si>
  <si>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</si>
  <si>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</si>
  <si>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</si>
  <si>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</si>
  <si>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</si>
  <si>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</si>
  <si>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</si>
  <si>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</si>
  <si>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</si>
  <si>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</si>
  <si>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</si>
  <si>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</si>
  <si>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</si>
  <si>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</si>
  <si>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</si>
  <si>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</si>
  <si>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</si>
  <si>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</si>
  <si>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</si>
  <si>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</si>
  <si>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</si>
  <si>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</si>
  <si>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</si>
  <si>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</si>
  <si>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</si>
  <si>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</si>
  <si>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</si>
  <si>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</si>
  <si>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</si>
  <si>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</si>
  <si>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</si>
  <si>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</si>
  <si>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</si>
  <si>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</si>
  <si>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</si>
  <si>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</si>
  <si>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</si>
  <si>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</si>
  <si>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</si>
  <si>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</si>
  <si>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</si>
  <si>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</si>
  <si>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</si>
  <si>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</si>
  <si>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</si>
  <si>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</si>
  <si>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</si>
  <si>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</si>
  <si>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</si>
  <si>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</si>
  <si>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</si>
  <si>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</si>
  <si>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</si>
  <si>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</si>
  <si>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</si>
  <si>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</si>
  <si>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</si>
  <si>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</si>
  <si>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To record PY inventory balance as of 6/30/13</t>
  </si>
  <si>
    <t>Private Purpose Trusts (Scholarships)</t>
  </si>
  <si>
    <t>Permanent Funds</t>
  </si>
  <si>
    <t>$11,249.15 Primex WC Premium Holiday</t>
  </si>
  <si>
    <t>$130,542.45 SchoolCare Health Premium Holiday</t>
  </si>
  <si>
    <t>Refund of PY Expenditure = $162,895.30    (Employer portion only recorded as revenue)</t>
  </si>
  <si>
    <t>$21,103.70 HealthTrust Dental Premium Holiday</t>
  </si>
  <si>
    <t>07/05</t>
  </si>
  <si>
    <t>08/15</t>
  </si>
  <si>
    <t>07/06</t>
  </si>
  <si>
    <t>08/21</t>
  </si>
  <si>
    <t>Jaffrey-Rindge Cooperative School District (SAU47)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</si>
</sst>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5" t="s">
        <v>922</v>
      </c>
      <c r="B2" s="21">
        <v>274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885655.22+4000</f>
        <v>889655.22</v>
      </c>
      <c r="G9" s="18">
        <v>647.69000000000005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69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2499126.5099999998</v>
      </c>
      <c r="K10" s="24" t="s">
        <v>289</v>
      </c>
      <c r="L10" s="24" t="s">
        <v>289</v>
      </c>
      <c r="M10" s="8"/>
      <c r="N10" s="269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69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108553.93</v>
      </c>
      <c r="G12" s="18">
        <v>27019.91</v>
      </c>
      <c r="H12" s="18">
        <v>1665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69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35335.43+27000</f>
        <v>62335.43</v>
      </c>
      <c r="G13" s="18">
        <v>19094.27</v>
      </c>
      <c r="H13" s="18">
        <v>137238.84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69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375.12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69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69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14042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69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f>23715+3000</f>
        <v>26715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69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69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1087634.7</v>
      </c>
      <c r="G19" s="41">
        <f>SUM(G9:G18)</f>
        <v>60803.869999999995</v>
      </c>
      <c r="H19" s="41">
        <f>SUM(H9:H18)</f>
        <v>138903.84</v>
      </c>
      <c r="I19" s="41">
        <f>SUM(I9:I18)</f>
        <v>0</v>
      </c>
      <c r="J19" s="41">
        <f>SUM(J9:J18)</f>
        <v>2499126.5099999998</v>
      </c>
      <c r="K19" s="45" t="s">
        <v>289</v>
      </c>
      <c r="L19" s="45" t="s">
        <v>289</v>
      </c>
      <c r="M19" s="8"/>
      <c r="N19" s="269"/>
    </row>
    <row r="20" spans="1:14" s="3" customFormat="1" ht="12" customHeight="1" x14ac:dyDescent="0.15">
      <c r="A20" s="1" t="s">
        <v>455</v>
      </c>
      <c r="C20" s="158"/>
      <c r="F20" s="13"/>
      <c r="G20" s="13"/>
      <c r="H20" s="13"/>
      <c r="I20" s="13"/>
      <c r="J20" s="13"/>
      <c r="K20" s="13"/>
      <c r="L20" s="13"/>
      <c r="M20" s="8"/>
      <c r="N20" s="269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69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137238.84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69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27000</v>
      </c>
      <c r="K23" s="24" t="s">
        <v>289</v>
      </c>
      <c r="L23" s="24" t="s">
        <v>289</v>
      </c>
      <c r="M23" s="8"/>
      <c r="N23" s="269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109682.96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69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>
        <v>33311.379999999997</v>
      </c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69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69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69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25034.76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69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1915.16+2430.45+34250.5</f>
        <v>38596.11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69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13349.45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69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69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173313.83000000002</v>
      </c>
      <c r="G32" s="41">
        <f>SUM(G22:G31)</f>
        <v>46660.83</v>
      </c>
      <c r="H32" s="41">
        <f>SUM(H22:H31)</f>
        <v>137238.84</v>
      </c>
      <c r="I32" s="41">
        <f>SUM(I22:I31)</f>
        <v>0</v>
      </c>
      <c r="J32" s="41">
        <f>SUM(J22:J31)</f>
        <v>27000</v>
      </c>
      <c r="K32" s="45" t="s">
        <v>289</v>
      </c>
      <c r="L32" s="45" t="s">
        <v>289</v>
      </c>
      <c r="M32" s="8"/>
      <c r="N32" s="269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69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69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14042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69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26715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69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780163.38</v>
      </c>
      <c r="K37" s="24" t="s">
        <v>289</v>
      </c>
      <c r="L37" s="24" t="s">
        <v>289</v>
      </c>
      <c r="M37" s="8"/>
      <c r="N37" s="269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69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20510.229999999996</v>
      </c>
      <c r="K39" s="24" t="s">
        <v>289</v>
      </c>
      <c r="L39" s="24" t="s">
        <v>289</v>
      </c>
      <c r="M39" s="8"/>
      <c r="N39" s="269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101.04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69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69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69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>
        <v>1665</v>
      </c>
      <c r="I43" s="18"/>
      <c r="J43" s="13">
        <f>SUM(I456)</f>
        <v>1671452.9</v>
      </c>
      <c r="K43" s="24" t="s">
        <v>289</v>
      </c>
      <c r="L43" s="24" t="s">
        <v>289</v>
      </c>
      <c r="M43" s="8"/>
      <c r="N43" s="269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f>200000+50000</f>
        <v>250000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69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f>97638.22-50000</f>
        <v>47638.22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69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150000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69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69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225332.66</v>
      </c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69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210</v>
      </c>
      <c r="G49" s="18"/>
      <c r="H49" s="18"/>
      <c r="I49" s="18"/>
      <c r="J49" s="13">
        <f>I454</f>
        <v>0</v>
      </c>
      <c r="K49" s="24"/>
      <c r="L49" s="24"/>
      <c r="M49" s="8"/>
      <c r="N49" s="269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364424.99-150000</f>
        <v>214424.99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69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914320.87</v>
      </c>
      <c r="G51" s="41">
        <f>SUM(G35:G50)</f>
        <v>14143.04</v>
      </c>
      <c r="H51" s="41">
        <f>SUM(H35:H50)</f>
        <v>1665</v>
      </c>
      <c r="I51" s="41">
        <f>SUM(I35:I50)</f>
        <v>0</v>
      </c>
      <c r="J51" s="41">
        <f>SUM(J35:J50)</f>
        <v>2472126.5099999998</v>
      </c>
      <c r="K51" s="45" t="s">
        <v>289</v>
      </c>
      <c r="L51" s="45" t="s">
        <v>289</v>
      </c>
      <c r="N51" s="18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1087634.7</v>
      </c>
      <c r="G52" s="41">
        <f>G51+G32</f>
        <v>60803.87</v>
      </c>
      <c r="H52" s="41">
        <f>H51+H32</f>
        <v>138903.84</v>
      </c>
      <c r="I52" s="41">
        <f>I51+I32</f>
        <v>0</v>
      </c>
      <c r="J52" s="41">
        <f>J51+J32</f>
        <v>2499126.5099999998</v>
      </c>
      <c r="K52" s="45" t="s">
        <v>289</v>
      </c>
      <c r="L52" s="45" t="s">
        <v>289</v>
      </c>
      <c r="M52" s="8"/>
      <c r="N52" s="269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69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69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69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69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14645977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69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69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0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14645977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0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69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69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16100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69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69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0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69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69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69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69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8044.91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69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69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69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69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69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69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69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69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24144.91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69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69"/>
    </row>
    <row r="81" spans="1:14" s="3" customFormat="1" ht="12" customHeight="1" x14ac:dyDescent="0.2">
      <c r="A81" s="169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69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69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69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69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69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69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69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69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69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69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69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69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69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69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69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63370.98</v>
      </c>
      <c r="K96" s="24" t="s">
        <v>289</v>
      </c>
      <c r="L96" s="24" t="s">
        <v>289</v>
      </c>
      <c r="M96" s="8"/>
      <c r="N96" s="269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309198.65000000002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69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1900</v>
      </c>
      <c r="G98" s="24" t="s">
        <v>289</v>
      </c>
      <c r="H98" s="18">
        <v>1665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69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69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69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69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69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69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69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69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69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69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69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162895.29999999999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69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78192.66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69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242987.96</v>
      </c>
      <c r="G111" s="41">
        <f>SUM(G96:G110)</f>
        <v>309198.65000000002</v>
      </c>
      <c r="H111" s="41">
        <f>SUM(H96:H110)</f>
        <v>1665</v>
      </c>
      <c r="I111" s="41">
        <f>SUM(I96:I110)</f>
        <v>0</v>
      </c>
      <c r="J111" s="41">
        <f>SUM(J96:J110)</f>
        <v>63370.98</v>
      </c>
      <c r="K111" s="45" t="s">
        <v>289</v>
      </c>
      <c r="L111" s="45" t="s">
        <v>289</v>
      </c>
      <c r="N111" s="18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14913109.870000001</v>
      </c>
      <c r="G112" s="41">
        <f>G60+G111</f>
        <v>309198.65000000002</v>
      </c>
      <c r="H112" s="41">
        <f>H60+H79+H94+H111</f>
        <v>1665</v>
      </c>
      <c r="I112" s="41">
        <f>I60+I111</f>
        <v>0</v>
      </c>
      <c r="J112" s="41">
        <f>J60+J111</f>
        <v>63370.98</v>
      </c>
      <c r="K112" s="45" t="s">
        <v>289</v>
      </c>
      <c r="L112" s="45" t="s">
        <v>289</v>
      </c>
      <c r="M112" s="8"/>
      <c r="N112" s="269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69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69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69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69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5196762.12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69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2356591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69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69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69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7553353.1200000001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69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69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325898.36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69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69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69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160053.01999999999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69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69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13096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69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69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69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>
        <v>8420.7099999999991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69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7761.82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69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69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69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69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499047.38</v>
      </c>
      <c r="G136" s="41">
        <f>SUM(G123:G135)</f>
        <v>7761.82</v>
      </c>
      <c r="H136" s="41">
        <f>SUM(H123:H135)</f>
        <v>8420.7099999999991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69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69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69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69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8052400.5</v>
      </c>
      <c r="G140" s="41">
        <f>G121+SUM(G136:G137)</f>
        <v>7761.82</v>
      </c>
      <c r="H140" s="41">
        <f>H121+SUM(H136:H139)</f>
        <v>8420.7099999999991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69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69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69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3" t="s">
        <v>772</v>
      </c>
      <c r="I143" s="16" t="s">
        <v>284</v>
      </c>
      <c r="J143" s="16" t="s">
        <v>285</v>
      </c>
      <c r="K143" s="20"/>
      <c r="L143" s="20"/>
      <c r="M143" s="8"/>
      <c r="N143" s="269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69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69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69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69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69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69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69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69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69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69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369956.09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69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329246.15000000002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69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69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69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279623.13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69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360702.41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69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175980.61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69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69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175980.61</v>
      </c>
      <c r="G162" s="41">
        <f>SUM(G150:G161)</f>
        <v>279623.13</v>
      </c>
      <c r="H162" s="41">
        <f>SUM(H150:H161)</f>
        <v>1059904.6499999999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69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69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69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69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69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69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69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175980.61</v>
      </c>
      <c r="G169" s="41">
        <f>G147+G162+SUM(G163:G168)</f>
        <v>279623.13</v>
      </c>
      <c r="H169" s="41">
        <f>H147+H162+SUM(H163:H168)</f>
        <v>1059904.6499999999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69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69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69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3" t="s">
        <v>772</v>
      </c>
      <c r="I172" s="16" t="s">
        <v>284</v>
      </c>
      <c r="J172" s="16" t="s">
        <v>285</v>
      </c>
      <c r="K172" s="20"/>
      <c r="L172" s="20"/>
      <c r="M172" s="8"/>
      <c r="N172" s="269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69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69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69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69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69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69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17750</v>
      </c>
      <c r="H179" s="18"/>
      <c r="I179" s="18"/>
      <c r="J179" s="18">
        <v>382212</v>
      </c>
      <c r="K179" s="24" t="s">
        <v>289</v>
      </c>
      <c r="L179" s="24" t="s">
        <v>289</v>
      </c>
      <c r="M179" s="8"/>
      <c r="N179" s="269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69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26283.99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69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69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26283.99</v>
      </c>
      <c r="G183" s="41">
        <f>SUM(G179:G182)</f>
        <v>17750</v>
      </c>
      <c r="H183" s="41">
        <f>SUM(H179:H182)</f>
        <v>0</v>
      </c>
      <c r="I183" s="41">
        <f>SUM(I179:I182)</f>
        <v>0</v>
      </c>
      <c r="J183" s="41">
        <f>SUM(J179:J182)</f>
        <v>382212</v>
      </c>
      <c r="K183" s="45" t="s">
        <v>289</v>
      </c>
      <c r="L183" s="45" t="s">
        <v>289</v>
      </c>
      <c r="M183" s="8"/>
      <c r="N183" s="269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69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4021.09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69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13745.43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69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17766.52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69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69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69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5" t="s">
        <v>431</v>
      </c>
      <c r="E192" s="51">
        <v>5000</v>
      </c>
      <c r="F192" s="41">
        <f>F177+F183+SUM(F188:F191)</f>
        <v>44050.51</v>
      </c>
      <c r="G192" s="41">
        <f>G183+SUM(G188:G191)</f>
        <v>17750</v>
      </c>
      <c r="H192" s="41">
        <f>+H183+SUM(H188:H191)</f>
        <v>0</v>
      </c>
      <c r="I192" s="41">
        <f>I177+I183+SUM(I188:I191)</f>
        <v>0</v>
      </c>
      <c r="J192" s="41">
        <f>J183</f>
        <v>382212</v>
      </c>
      <c r="K192" s="45" t="s">
        <v>289</v>
      </c>
      <c r="L192" s="45" t="s">
        <v>289</v>
      </c>
      <c r="M192" s="8"/>
      <c r="N192" s="269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6" t="s">
        <v>431</v>
      </c>
      <c r="E193" s="44"/>
      <c r="F193" s="47">
        <f>F112+F140+F169+F192</f>
        <v>23185541.490000002</v>
      </c>
      <c r="G193" s="47">
        <f>G112+G140+G169+G192</f>
        <v>614333.60000000009</v>
      </c>
      <c r="H193" s="47">
        <f>H112+H140+H169+H192</f>
        <v>1069990.3599999999</v>
      </c>
      <c r="I193" s="47">
        <f>I112+I140+I169+I192</f>
        <v>0</v>
      </c>
      <c r="J193" s="47">
        <f>J112+J140+J192</f>
        <v>445582.98</v>
      </c>
      <c r="K193" s="45" t="s">
        <v>289</v>
      </c>
      <c r="L193" s="45" t="s">
        <v>289</v>
      </c>
      <c r="M193" s="8"/>
      <c r="N193" s="269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6" t="s">
        <v>693</v>
      </c>
      <c r="G194" s="176" t="s">
        <v>694</v>
      </c>
      <c r="H194" s="176" t="s">
        <v>695</v>
      </c>
      <c r="I194" s="176" t="s">
        <v>696</v>
      </c>
      <c r="J194" s="176" t="s">
        <v>697</v>
      </c>
      <c r="K194" s="176" t="s">
        <v>698</v>
      </c>
      <c r="L194" s="56"/>
      <c r="M194" s="8"/>
      <c r="N194" s="269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69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69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2452266.4300000002</v>
      </c>
      <c r="G197" s="18">
        <v>1099787.05</v>
      </c>
      <c r="H197" s="18">
        <v>21256.42</v>
      </c>
      <c r="I197" s="18">
        <v>84395.45</v>
      </c>
      <c r="J197" s="18">
        <v>7645.05</v>
      </c>
      <c r="K197" s="18">
        <v>100</v>
      </c>
      <c r="L197" s="19">
        <f>SUM(F197:K197)</f>
        <v>3665450.4000000004</v>
      </c>
      <c r="M197" s="8"/>
      <c r="N197" s="269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1157876.8</v>
      </c>
      <c r="G198" s="18">
        <v>542632.86</v>
      </c>
      <c r="H198" s="18">
        <v>410697.83</v>
      </c>
      <c r="I198" s="18">
        <v>14207.45</v>
      </c>
      <c r="J198" s="18">
        <v>16113.5</v>
      </c>
      <c r="K198" s="18">
        <v>11142.21</v>
      </c>
      <c r="L198" s="19">
        <f>SUM(F198:K198)</f>
        <v>2152670.6500000004</v>
      </c>
      <c r="M198" s="8"/>
      <c r="N198" s="269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69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61279.63</v>
      </c>
      <c r="G200" s="18">
        <v>12442.19</v>
      </c>
      <c r="H200" s="18"/>
      <c r="I200" s="18">
        <v>527.42999999999995</v>
      </c>
      <c r="J200" s="18"/>
      <c r="K200" s="18">
        <v>970</v>
      </c>
      <c r="L200" s="19">
        <f>SUM(F200:K200)</f>
        <v>75219.249999999985</v>
      </c>
      <c r="M200" s="8"/>
      <c r="N200" s="269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69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347192.36</v>
      </c>
      <c r="G202" s="18">
        <v>162917.76000000001</v>
      </c>
      <c r="H202" s="18">
        <v>12012.89</v>
      </c>
      <c r="I202" s="18">
        <v>7287</v>
      </c>
      <c r="J202" s="18">
        <v>2399.4899999999998</v>
      </c>
      <c r="K202" s="18"/>
      <c r="L202" s="19">
        <f t="shared" ref="L202:L208" si="0">SUM(F202:K202)</f>
        <v>531809.5</v>
      </c>
      <c r="M202" s="8"/>
      <c r="N202" s="269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187663.06</v>
      </c>
      <c r="G203" s="18">
        <v>75528.42</v>
      </c>
      <c r="H203" s="18">
        <v>28587.52</v>
      </c>
      <c r="I203" s="18">
        <v>20598.22</v>
      </c>
      <c r="J203" s="18">
        <v>3190.66</v>
      </c>
      <c r="K203" s="18">
        <v>3006</v>
      </c>
      <c r="L203" s="19">
        <f t="shared" si="0"/>
        <v>318573.87999999995</v>
      </c>
      <c r="M203" s="8"/>
      <c r="N203" s="269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84030.75</v>
      </c>
      <c r="G204" s="18">
        <v>19152.169999999998</v>
      </c>
      <c r="H204" s="18">
        <v>35709.760000000002</v>
      </c>
      <c r="I204" s="18">
        <v>1457.55</v>
      </c>
      <c r="J204" s="18"/>
      <c r="K204" s="18">
        <v>4632.5</v>
      </c>
      <c r="L204" s="19">
        <f t="shared" si="0"/>
        <v>144982.72999999998</v>
      </c>
      <c r="M204" s="8"/>
      <c r="N204" s="269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317798.24</v>
      </c>
      <c r="G205" s="18">
        <v>155769.65</v>
      </c>
      <c r="H205" s="18">
        <v>6130.04</v>
      </c>
      <c r="I205" s="18">
        <v>2346.98</v>
      </c>
      <c r="J205" s="18">
        <v>1738.48</v>
      </c>
      <c r="K205" s="18">
        <v>4271</v>
      </c>
      <c r="L205" s="19">
        <f t="shared" si="0"/>
        <v>488054.38999999996</v>
      </c>
      <c r="M205" s="8"/>
      <c r="N205" s="269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98505.68</v>
      </c>
      <c r="G206" s="18">
        <v>53304.31</v>
      </c>
      <c r="H206" s="18">
        <v>36932.660000000003</v>
      </c>
      <c r="I206" s="18">
        <v>4505.3</v>
      </c>
      <c r="J206" s="18">
        <v>620.19000000000005</v>
      </c>
      <c r="K206" s="18">
        <v>5047.47</v>
      </c>
      <c r="L206" s="19">
        <f t="shared" si="0"/>
        <v>198915.61</v>
      </c>
      <c r="M206" s="8"/>
      <c r="N206" s="269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338857.32</v>
      </c>
      <c r="G207" s="18">
        <v>189415.06</v>
      </c>
      <c r="H207" s="18">
        <v>222132.59</v>
      </c>
      <c r="I207" s="18">
        <v>250466.22</v>
      </c>
      <c r="J207" s="18">
        <v>29837.01</v>
      </c>
      <c r="K207" s="18">
        <v>58.5</v>
      </c>
      <c r="L207" s="19">
        <f t="shared" si="0"/>
        <v>1030766.7</v>
      </c>
      <c r="M207" s="8"/>
      <c r="N207" s="269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452121.74</v>
      </c>
      <c r="I208" s="18">
        <v>68244.649999999994</v>
      </c>
      <c r="J208" s="18"/>
      <c r="K208" s="18"/>
      <c r="L208" s="19">
        <f t="shared" si="0"/>
        <v>520366.39</v>
      </c>
      <c r="M208" s="8"/>
      <c r="N208" s="269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60871.61</v>
      </c>
      <c r="G209" s="18">
        <v>23273.54</v>
      </c>
      <c r="H209" s="18">
        <v>110671.5</v>
      </c>
      <c r="I209" s="18">
        <v>54494.559999999998</v>
      </c>
      <c r="J209" s="18">
        <v>156244.56</v>
      </c>
      <c r="K209" s="18"/>
      <c r="L209" s="19">
        <f>SUM(F209:K209)</f>
        <v>405555.77</v>
      </c>
      <c r="M209" s="8"/>
      <c r="N209" s="269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69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5106341.8800000008</v>
      </c>
      <c r="G211" s="41">
        <f t="shared" si="1"/>
        <v>2334223.0099999998</v>
      </c>
      <c r="H211" s="41">
        <f t="shared" si="1"/>
        <v>1336252.95</v>
      </c>
      <c r="I211" s="41">
        <f t="shared" si="1"/>
        <v>508530.81</v>
      </c>
      <c r="J211" s="41">
        <f t="shared" si="1"/>
        <v>217788.94</v>
      </c>
      <c r="K211" s="41">
        <f t="shared" si="1"/>
        <v>29227.68</v>
      </c>
      <c r="L211" s="41">
        <f t="shared" si="1"/>
        <v>9532365.2699999996</v>
      </c>
      <c r="M211" s="8"/>
      <c r="N211" s="269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6" t="s">
        <v>693</v>
      </c>
      <c r="G212" s="176" t="s">
        <v>694</v>
      </c>
      <c r="H212" s="176" t="s">
        <v>695</v>
      </c>
      <c r="I212" s="176" t="s">
        <v>696</v>
      </c>
      <c r="J212" s="176" t="s">
        <v>697</v>
      </c>
      <c r="K212" s="176" t="s">
        <v>698</v>
      </c>
      <c r="L212" s="67"/>
      <c r="M212" s="8"/>
      <c r="N212" s="269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69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69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1065236.4099999999</v>
      </c>
      <c r="G215" s="18">
        <v>501500.71</v>
      </c>
      <c r="H215" s="18">
        <v>8424.39</v>
      </c>
      <c r="I215" s="18">
        <v>48032</v>
      </c>
      <c r="J215" s="18">
        <v>2384</v>
      </c>
      <c r="K215" s="18">
        <v>370</v>
      </c>
      <c r="L215" s="19">
        <f>SUM(F215:K215)</f>
        <v>1625947.5099999998</v>
      </c>
      <c r="M215" s="8"/>
      <c r="N215" s="269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754566.56</v>
      </c>
      <c r="G216" s="18">
        <v>423106.28</v>
      </c>
      <c r="H216" s="18">
        <v>337681.99</v>
      </c>
      <c r="I216" s="18">
        <v>8461.94</v>
      </c>
      <c r="J216" s="18">
        <v>6152.43</v>
      </c>
      <c r="K216" s="18">
        <v>5942.51</v>
      </c>
      <c r="L216" s="19">
        <f>SUM(F216:K216)</f>
        <v>1535911.71</v>
      </c>
      <c r="M216" s="8"/>
      <c r="N216" s="269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149362.03</v>
      </c>
      <c r="G217" s="18">
        <v>54448.42</v>
      </c>
      <c r="H217" s="18">
        <v>1021.34</v>
      </c>
      <c r="I217" s="18">
        <v>5074.79</v>
      </c>
      <c r="J217" s="18"/>
      <c r="K217" s="18"/>
      <c r="L217" s="19">
        <f>SUM(F217:K217)</f>
        <v>209906.58000000002</v>
      </c>
      <c r="M217" s="8"/>
      <c r="N217" s="269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55962.23</v>
      </c>
      <c r="G218" s="18">
        <v>10392.6</v>
      </c>
      <c r="H218" s="18">
        <v>2750</v>
      </c>
      <c r="I218" s="18">
        <v>1756.93</v>
      </c>
      <c r="J218" s="18"/>
      <c r="K218" s="18">
        <v>1076.6500000000001</v>
      </c>
      <c r="L218" s="19">
        <f>SUM(F218:K218)</f>
        <v>71938.409999999989</v>
      </c>
      <c r="M218" s="8"/>
      <c r="N218" s="269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69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249648.06</v>
      </c>
      <c r="G220" s="18">
        <v>96035.1</v>
      </c>
      <c r="H220" s="18">
        <v>10403.85</v>
      </c>
      <c r="I220" s="18">
        <v>4442.37</v>
      </c>
      <c r="J220" s="18"/>
      <c r="K220" s="18">
        <v>80</v>
      </c>
      <c r="L220" s="19">
        <f t="shared" ref="L220:L226" si="2">SUM(F220:K220)</f>
        <v>360609.38</v>
      </c>
      <c r="M220" s="8"/>
      <c r="N220" s="269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101652.17</v>
      </c>
      <c r="G221" s="18">
        <v>36862.6</v>
      </c>
      <c r="H221" s="18">
        <v>17216.669999999998</v>
      </c>
      <c r="I221" s="18">
        <v>11013.55</v>
      </c>
      <c r="J221" s="18"/>
      <c r="K221" s="18">
        <v>1603.2</v>
      </c>
      <c r="L221" s="19">
        <f t="shared" si="2"/>
        <v>168348.19</v>
      </c>
      <c r="M221" s="8"/>
      <c r="N221" s="269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44816.4</v>
      </c>
      <c r="G222" s="18">
        <v>10214.469999999999</v>
      </c>
      <c r="H222" s="18">
        <v>19045.169999999998</v>
      </c>
      <c r="I222" s="18">
        <v>777.36</v>
      </c>
      <c r="J222" s="18"/>
      <c r="K222" s="18">
        <v>2470.67</v>
      </c>
      <c r="L222" s="19">
        <f t="shared" si="2"/>
        <v>77324.070000000007</v>
      </c>
      <c r="M222" s="8"/>
      <c r="N222" s="269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209856.18</v>
      </c>
      <c r="G223" s="18">
        <v>91621.1</v>
      </c>
      <c r="H223" s="18">
        <v>9413.93</v>
      </c>
      <c r="I223" s="18">
        <v>2257.89</v>
      </c>
      <c r="J223" s="18">
        <v>323.11</v>
      </c>
      <c r="K223" s="18">
        <v>1895</v>
      </c>
      <c r="L223" s="19">
        <f t="shared" si="2"/>
        <v>315367.21000000002</v>
      </c>
      <c r="M223" s="8"/>
      <c r="N223" s="269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52536.35</v>
      </c>
      <c r="G224" s="18">
        <v>28428.959999999999</v>
      </c>
      <c r="H224" s="18">
        <v>19697.400000000001</v>
      </c>
      <c r="I224" s="18">
        <v>2402.8200000000002</v>
      </c>
      <c r="J224" s="18">
        <v>330.77</v>
      </c>
      <c r="K224" s="18">
        <v>2691.98</v>
      </c>
      <c r="L224" s="19">
        <f t="shared" si="2"/>
        <v>106088.28</v>
      </c>
      <c r="M224" s="8"/>
      <c r="N224" s="269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153422.59</v>
      </c>
      <c r="G225" s="18">
        <v>71411.820000000007</v>
      </c>
      <c r="H225" s="18">
        <v>97481.07</v>
      </c>
      <c r="I225" s="18">
        <v>168300.77</v>
      </c>
      <c r="J225" s="18">
        <v>21664.68</v>
      </c>
      <c r="K225" s="18">
        <v>31.2</v>
      </c>
      <c r="L225" s="19">
        <f t="shared" si="2"/>
        <v>512312.13</v>
      </c>
      <c r="M225" s="8"/>
      <c r="N225" s="269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368271.97</v>
      </c>
      <c r="I226" s="18">
        <v>36397.15</v>
      </c>
      <c r="J226" s="18"/>
      <c r="K226" s="18"/>
      <c r="L226" s="19">
        <f t="shared" si="2"/>
        <v>404669.12</v>
      </c>
      <c r="M226" s="8"/>
      <c r="N226" s="269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32464.86</v>
      </c>
      <c r="G227" s="18">
        <v>12412.57</v>
      </c>
      <c r="H227" s="18">
        <v>59024.79</v>
      </c>
      <c r="I227" s="18">
        <v>34302.76</v>
      </c>
      <c r="J227" s="18">
        <v>79056.41</v>
      </c>
      <c r="K227" s="18"/>
      <c r="L227" s="19">
        <f>SUM(F227:K227)</f>
        <v>217261.39</v>
      </c>
      <c r="M227" s="8"/>
      <c r="N227" s="269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69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2869523.84</v>
      </c>
      <c r="G229" s="41">
        <f>SUM(G215:G228)</f>
        <v>1336434.6300000004</v>
      </c>
      <c r="H229" s="41">
        <f>SUM(H215:H228)</f>
        <v>950432.57000000007</v>
      </c>
      <c r="I229" s="41">
        <f>SUM(I215:I228)</f>
        <v>323220.33</v>
      </c>
      <c r="J229" s="41">
        <f>SUM(J215:J228)</f>
        <v>109911.40000000001</v>
      </c>
      <c r="K229" s="41">
        <f t="shared" si="3"/>
        <v>16161.210000000001</v>
      </c>
      <c r="L229" s="41">
        <f t="shared" si="3"/>
        <v>5605683.9799999995</v>
      </c>
      <c r="M229" s="8"/>
      <c r="N229" s="269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6" t="s">
        <v>693</v>
      </c>
      <c r="G230" s="176" t="s">
        <v>694</v>
      </c>
      <c r="H230" s="176" t="s">
        <v>695</v>
      </c>
      <c r="I230" s="176" t="s">
        <v>696</v>
      </c>
      <c r="J230" s="176" t="s">
        <v>697</v>
      </c>
      <c r="K230" s="176" t="s">
        <v>698</v>
      </c>
      <c r="L230" s="67"/>
      <c r="M230" s="8"/>
      <c r="N230" s="269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69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69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1513524.42</v>
      </c>
      <c r="G233" s="18">
        <v>725011.15</v>
      </c>
      <c r="H233" s="18">
        <v>19431.78</v>
      </c>
      <c r="I233" s="18">
        <v>117218.86</v>
      </c>
      <c r="J233" s="18">
        <v>9732.01</v>
      </c>
      <c r="K233" s="18">
        <v>5395</v>
      </c>
      <c r="L233" s="19">
        <f>SUM(F233:K233)</f>
        <v>2390313.2199999993</v>
      </c>
      <c r="M233" s="8"/>
      <c r="N233" s="269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831509.01</v>
      </c>
      <c r="G234" s="18">
        <v>401613.39</v>
      </c>
      <c r="H234" s="18">
        <v>202777</v>
      </c>
      <c r="I234" s="18">
        <v>10319.08</v>
      </c>
      <c r="J234" s="18">
        <v>2874.75</v>
      </c>
      <c r="K234" s="18">
        <v>7675.74</v>
      </c>
      <c r="L234" s="19">
        <f>SUM(F234:K234)</f>
        <v>1456768.97</v>
      </c>
      <c r="M234" s="8"/>
      <c r="N234" s="269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115541.29</v>
      </c>
      <c r="G235" s="18">
        <v>47263.22</v>
      </c>
      <c r="H235" s="18">
        <v>33003.86</v>
      </c>
      <c r="I235" s="18">
        <v>21802.83</v>
      </c>
      <c r="J235" s="18">
        <v>1892.96</v>
      </c>
      <c r="K235" s="18"/>
      <c r="L235" s="19">
        <f>SUM(F235:K235)</f>
        <v>219504.16</v>
      </c>
      <c r="M235" s="8"/>
      <c r="N235" s="269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108302.72</v>
      </c>
      <c r="G236" s="18">
        <v>19282.650000000001</v>
      </c>
      <c r="H236" s="18">
        <v>24949.95</v>
      </c>
      <c r="I236" s="18">
        <v>12219.07</v>
      </c>
      <c r="J236" s="18">
        <v>3856.59</v>
      </c>
      <c r="K236" s="18">
        <v>8344</v>
      </c>
      <c r="L236" s="19">
        <f>SUM(F236:K236)</f>
        <v>176954.98</v>
      </c>
      <c r="M236" s="8"/>
      <c r="N236" s="269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69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353588.96</v>
      </c>
      <c r="G238" s="18">
        <v>147231.31</v>
      </c>
      <c r="H238" s="18">
        <v>15299.53</v>
      </c>
      <c r="I238" s="18">
        <v>13469.02</v>
      </c>
      <c r="J238" s="18">
        <v>3446.55</v>
      </c>
      <c r="K238" s="18">
        <v>95</v>
      </c>
      <c r="L238" s="19">
        <f t="shared" ref="L238:L244" si="4">SUM(F238:K238)</f>
        <v>533130.37000000011</v>
      </c>
      <c r="M238" s="8"/>
      <c r="N238" s="269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123054.42</v>
      </c>
      <c r="G239" s="18">
        <v>44191.53</v>
      </c>
      <c r="H239" s="18">
        <v>19753.419999999998</v>
      </c>
      <c r="I239" s="18">
        <v>18066.330000000002</v>
      </c>
      <c r="J239" s="18"/>
      <c r="K239" s="18">
        <v>2070.8000000000002</v>
      </c>
      <c r="L239" s="19">
        <f t="shared" si="4"/>
        <v>207136.5</v>
      </c>
      <c r="M239" s="8"/>
      <c r="N239" s="269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57887.85</v>
      </c>
      <c r="G240" s="18">
        <v>13193.7</v>
      </c>
      <c r="H240" s="18">
        <v>24600.05</v>
      </c>
      <c r="I240" s="18">
        <v>1004.09</v>
      </c>
      <c r="J240" s="18"/>
      <c r="K240" s="18">
        <v>3191.28</v>
      </c>
      <c r="L240" s="19">
        <f t="shared" si="4"/>
        <v>99876.97</v>
      </c>
      <c r="M240" s="8"/>
      <c r="N240" s="269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248761.04</v>
      </c>
      <c r="G241" s="18">
        <v>96097.47</v>
      </c>
      <c r="H241" s="18">
        <v>10641.36</v>
      </c>
      <c r="I241" s="18">
        <v>1018.19</v>
      </c>
      <c r="J241" s="18"/>
      <c r="K241" s="18">
        <v>1900</v>
      </c>
      <c r="L241" s="19">
        <f t="shared" si="4"/>
        <v>358418.06</v>
      </c>
      <c r="M241" s="8"/>
      <c r="N241" s="269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67859.47</v>
      </c>
      <c r="G242" s="18">
        <v>36720.74</v>
      </c>
      <c r="H242" s="18">
        <v>25442.5</v>
      </c>
      <c r="I242" s="18">
        <v>3103.65</v>
      </c>
      <c r="J242" s="18">
        <v>427.24</v>
      </c>
      <c r="K242" s="18">
        <v>3477.14</v>
      </c>
      <c r="L242" s="19">
        <f t="shared" si="4"/>
        <v>137030.74</v>
      </c>
      <c r="M242" s="8"/>
      <c r="N242" s="269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170396.08</v>
      </c>
      <c r="G243" s="18">
        <v>79244.67</v>
      </c>
      <c r="H243" s="18">
        <v>166464.87</v>
      </c>
      <c r="I243" s="18">
        <v>157423.03</v>
      </c>
      <c r="J243" s="18">
        <v>49804.56</v>
      </c>
      <c r="K243" s="18">
        <v>40.299999999999997</v>
      </c>
      <c r="L243" s="19">
        <f t="shared" si="4"/>
        <v>623373.51</v>
      </c>
      <c r="M243" s="8"/>
      <c r="N243" s="269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469382.22</v>
      </c>
      <c r="I244" s="18">
        <v>47012.98</v>
      </c>
      <c r="J244" s="18"/>
      <c r="K244" s="18"/>
      <c r="L244" s="19">
        <f t="shared" si="4"/>
        <v>516395.19999999995</v>
      </c>
      <c r="M244" s="8"/>
      <c r="N244" s="269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41933.769999999997</v>
      </c>
      <c r="G245" s="18">
        <v>16032.89</v>
      </c>
      <c r="H245" s="18">
        <v>76240.37</v>
      </c>
      <c r="I245" s="18">
        <v>56076.85</v>
      </c>
      <c r="J245" s="18">
        <v>80721.16</v>
      </c>
      <c r="K245" s="18"/>
      <c r="L245" s="19">
        <f>SUM(F245:K245)</f>
        <v>271005.04000000004</v>
      </c>
      <c r="M245" s="8"/>
      <c r="N245" s="269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69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3632359.0300000003</v>
      </c>
      <c r="G247" s="41">
        <f t="shared" si="5"/>
        <v>1625882.7199999997</v>
      </c>
      <c r="H247" s="41">
        <f t="shared" si="5"/>
        <v>1087986.9100000001</v>
      </c>
      <c r="I247" s="41">
        <f t="shared" si="5"/>
        <v>458733.98</v>
      </c>
      <c r="J247" s="41">
        <f t="shared" si="5"/>
        <v>152755.82</v>
      </c>
      <c r="K247" s="41">
        <f t="shared" si="5"/>
        <v>32189.259999999995</v>
      </c>
      <c r="L247" s="41">
        <f t="shared" si="5"/>
        <v>6989907.7199999997</v>
      </c>
      <c r="M247" s="8"/>
      <c r="N247" s="269"/>
    </row>
    <row r="248" spans="1:14" s="3" customFormat="1" ht="12" customHeight="1" x14ac:dyDescent="0.15">
      <c r="A248" s="70"/>
      <c r="B248" s="36"/>
      <c r="C248" s="37"/>
      <c r="D248" s="37"/>
      <c r="E248" s="37"/>
      <c r="F248" s="176" t="s">
        <v>693</v>
      </c>
      <c r="G248" s="176" t="s">
        <v>694</v>
      </c>
      <c r="H248" s="176" t="s">
        <v>695</v>
      </c>
      <c r="I248" s="176" t="s">
        <v>696</v>
      </c>
      <c r="J248" s="176" t="s">
        <v>697</v>
      </c>
      <c r="K248" s="176" t="s">
        <v>698</v>
      </c>
      <c r="L248" s="67"/>
      <c r="M248" s="8"/>
      <c r="N248" s="269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69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69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69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69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69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69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69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69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11608224.75</v>
      </c>
      <c r="G257" s="41">
        <f t="shared" si="8"/>
        <v>5296540.3599999994</v>
      </c>
      <c r="H257" s="41">
        <f t="shared" si="8"/>
        <v>3374672.43</v>
      </c>
      <c r="I257" s="41">
        <f t="shared" si="8"/>
        <v>1290485.1200000001</v>
      </c>
      <c r="J257" s="41">
        <f t="shared" si="8"/>
        <v>480456.16000000003</v>
      </c>
      <c r="K257" s="41">
        <f t="shared" si="8"/>
        <v>77578.149999999994</v>
      </c>
      <c r="L257" s="41">
        <f t="shared" si="8"/>
        <v>22127956.969999999</v>
      </c>
      <c r="M257" s="8"/>
      <c r="N257" s="269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69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69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675000</v>
      </c>
      <c r="L260" s="19">
        <f>SUM(F260:K260)</f>
        <v>675000</v>
      </c>
      <c r="M260" s="8"/>
      <c r="N260" s="269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259650</v>
      </c>
      <c r="L261" s="19">
        <f>SUM(F261:K261)</f>
        <v>259650</v>
      </c>
      <c r="N261" s="18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17750</v>
      </c>
      <c r="L263" s="19">
        <f>SUM(F263:K263)</f>
        <v>17750</v>
      </c>
      <c r="N263" s="18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382212</v>
      </c>
      <c r="L266" s="19">
        <f t="shared" si="9"/>
        <v>382212</v>
      </c>
      <c r="N266" s="18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1334612</v>
      </c>
      <c r="L270" s="41">
        <f t="shared" si="9"/>
        <v>1334612</v>
      </c>
      <c r="N270" s="18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11608224.75</v>
      </c>
      <c r="G271" s="42">
        <f t="shared" si="11"/>
        <v>5296540.3599999994</v>
      </c>
      <c r="H271" s="42">
        <f t="shared" si="11"/>
        <v>3374672.43</v>
      </c>
      <c r="I271" s="42">
        <f t="shared" si="11"/>
        <v>1290485.1200000001</v>
      </c>
      <c r="J271" s="42">
        <f t="shared" si="11"/>
        <v>480456.16000000003</v>
      </c>
      <c r="K271" s="42">
        <f t="shared" si="11"/>
        <v>1412190.15</v>
      </c>
      <c r="L271" s="42">
        <f t="shared" si="11"/>
        <v>23462568.969999999</v>
      </c>
      <c r="M271" s="8"/>
      <c r="N271" s="269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69"/>
    </row>
    <row r="273" spans="1:14" s="3" customFormat="1" ht="12" customHeight="1" x14ac:dyDescent="0.15">
      <c r="A273" s="29" t="s">
        <v>467</v>
      </c>
      <c r="F273" s="176" t="s">
        <v>693</v>
      </c>
      <c r="G273" s="176" t="s">
        <v>694</v>
      </c>
      <c r="H273" s="176" t="s">
        <v>695</v>
      </c>
      <c r="I273" s="176" t="s">
        <v>696</v>
      </c>
      <c r="J273" s="176" t="s">
        <v>697</v>
      </c>
      <c r="K273" s="176" t="s">
        <v>698</v>
      </c>
      <c r="M273" s="8"/>
      <c r="N273" s="269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69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69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239568.42</v>
      </c>
      <c r="G276" s="18">
        <v>109404.13</v>
      </c>
      <c r="H276" s="18"/>
      <c r="I276" s="18"/>
      <c r="J276" s="18">
        <v>9738.7000000000007</v>
      </c>
      <c r="K276" s="18"/>
      <c r="L276" s="19">
        <f>SUM(F276:K276)</f>
        <v>358711.25000000006</v>
      </c>
      <c r="M276" s="8"/>
      <c r="N276" s="269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59512.91</v>
      </c>
      <c r="G277" s="18">
        <v>20563.47</v>
      </c>
      <c r="H277" s="18"/>
      <c r="I277" s="18">
        <v>3681.39</v>
      </c>
      <c r="J277" s="18">
        <v>1572.6</v>
      </c>
      <c r="K277" s="18"/>
      <c r="L277" s="19">
        <f>SUM(F277:K277)</f>
        <v>85330.37000000001</v>
      </c>
      <c r="M277" s="8"/>
      <c r="N277" s="269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69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104247.67</v>
      </c>
      <c r="G279" s="18">
        <v>19471</v>
      </c>
      <c r="H279" s="18">
        <v>41796.29</v>
      </c>
      <c r="I279" s="18">
        <v>7983.34</v>
      </c>
      <c r="J279" s="18"/>
      <c r="K279" s="18"/>
      <c r="L279" s="19">
        <f>SUM(F279:K279)</f>
        <v>173498.3</v>
      </c>
      <c r="M279" s="8"/>
      <c r="N279" s="269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69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35402.65</v>
      </c>
      <c r="G281" s="18">
        <v>2941.1</v>
      </c>
      <c r="H281" s="18">
        <v>30150</v>
      </c>
      <c r="I281" s="18"/>
      <c r="J281" s="18"/>
      <c r="K281" s="18"/>
      <c r="L281" s="19">
        <f t="shared" ref="L281:L287" si="12">SUM(F281:K281)</f>
        <v>68493.75</v>
      </c>
      <c r="M281" s="8"/>
      <c r="N281" s="269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37047.660000000003</v>
      </c>
      <c r="G282" s="18">
        <v>14760.51</v>
      </c>
      <c r="H282" s="18">
        <v>2578.25</v>
      </c>
      <c r="I282" s="18"/>
      <c r="J282" s="18">
        <v>2148.73</v>
      </c>
      <c r="K282" s="18"/>
      <c r="L282" s="19">
        <f t="shared" si="12"/>
        <v>56535.150000000009</v>
      </c>
      <c r="M282" s="8"/>
      <c r="N282" s="269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69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69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69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69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214.5</v>
      </c>
      <c r="I287" s="18"/>
      <c r="J287" s="18"/>
      <c r="K287" s="18"/>
      <c r="L287" s="19">
        <f t="shared" si="12"/>
        <v>214.5</v>
      </c>
      <c r="M287" s="8"/>
      <c r="N287" s="269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69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69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475779.31000000006</v>
      </c>
      <c r="G290" s="42">
        <f t="shared" si="13"/>
        <v>167140.21000000002</v>
      </c>
      <c r="H290" s="42">
        <f t="shared" si="13"/>
        <v>74739.040000000008</v>
      </c>
      <c r="I290" s="42">
        <f t="shared" si="13"/>
        <v>11664.73</v>
      </c>
      <c r="J290" s="42">
        <f t="shared" si="13"/>
        <v>13460.03</v>
      </c>
      <c r="K290" s="42">
        <f t="shared" si="13"/>
        <v>0</v>
      </c>
      <c r="L290" s="41">
        <f t="shared" si="13"/>
        <v>742783.32000000007</v>
      </c>
      <c r="M290" s="8"/>
      <c r="N290" s="269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69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6" t="s">
        <v>693</v>
      </c>
      <c r="G292" s="176" t="s">
        <v>694</v>
      </c>
      <c r="H292" s="176" t="s">
        <v>695</v>
      </c>
      <c r="I292" s="176" t="s">
        <v>696</v>
      </c>
      <c r="J292" s="176" t="s">
        <v>697</v>
      </c>
      <c r="K292" s="176" t="s">
        <v>698</v>
      </c>
      <c r="L292" s="17"/>
      <c r="M292" s="8"/>
      <c r="N292" s="269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69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69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/>
      <c r="I295" s="18"/>
      <c r="J295" s="18">
        <v>0</v>
      </c>
      <c r="K295" s="18"/>
      <c r="L295" s="19">
        <f>SUM(F295:K295)</f>
        <v>0</v>
      </c>
      <c r="M295" s="8"/>
      <c r="N295" s="269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0</v>
      </c>
      <c r="G296" s="18">
        <v>0</v>
      </c>
      <c r="H296" s="18"/>
      <c r="I296" s="18"/>
      <c r="J296" s="18">
        <v>717.12</v>
      </c>
      <c r="K296" s="18"/>
      <c r="L296" s="19">
        <f>SUM(F296:K296)</f>
        <v>717.12</v>
      </c>
      <c r="M296" s="8"/>
      <c r="N296" s="269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69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50245.71</v>
      </c>
      <c r="G298" s="18">
        <v>9200.2900000000009</v>
      </c>
      <c r="H298" s="18">
        <v>21463.78</v>
      </c>
      <c r="I298" s="18">
        <v>4298.72</v>
      </c>
      <c r="J298" s="18"/>
      <c r="K298" s="18"/>
      <c r="L298" s="19">
        <f>SUM(F298:K298)</f>
        <v>85208.5</v>
      </c>
      <c r="M298" s="8"/>
      <c r="N298" s="269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69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480</v>
      </c>
      <c r="G300" s="18">
        <v>36.24</v>
      </c>
      <c r="H300" s="18">
        <v>16080</v>
      </c>
      <c r="I300" s="18"/>
      <c r="J300" s="18"/>
      <c r="K300" s="18"/>
      <c r="L300" s="19">
        <f t="shared" ref="L300:L306" si="14">SUM(F300:K300)</f>
        <v>16596.240000000002</v>
      </c>
      <c r="M300" s="8"/>
      <c r="N300" s="269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19758.75</v>
      </c>
      <c r="G301" s="18">
        <v>7872.28</v>
      </c>
      <c r="H301" s="18">
        <v>740.4</v>
      </c>
      <c r="I301" s="18"/>
      <c r="J301" s="18">
        <v>1145.99</v>
      </c>
      <c r="K301" s="18"/>
      <c r="L301" s="19">
        <f t="shared" si="14"/>
        <v>29517.420000000002</v>
      </c>
      <c r="M301" s="8"/>
      <c r="N301" s="269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69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69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69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69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115.5</v>
      </c>
      <c r="I306" s="18"/>
      <c r="J306" s="18"/>
      <c r="K306" s="18"/>
      <c r="L306" s="19">
        <f t="shared" si="14"/>
        <v>115.5</v>
      </c>
      <c r="M306" s="8"/>
      <c r="N306" s="269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69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69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70484.459999999992</v>
      </c>
      <c r="G309" s="42">
        <f t="shared" si="15"/>
        <v>17108.810000000001</v>
      </c>
      <c r="H309" s="42">
        <f t="shared" si="15"/>
        <v>38399.68</v>
      </c>
      <c r="I309" s="42">
        <f t="shared" si="15"/>
        <v>4298.72</v>
      </c>
      <c r="J309" s="42">
        <f t="shared" si="15"/>
        <v>1863.1100000000001</v>
      </c>
      <c r="K309" s="42">
        <f t="shared" si="15"/>
        <v>0</v>
      </c>
      <c r="L309" s="41">
        <f t="shared" si="15"/>
        <v>132154.78</v>
      </c>
      <c r="N309" s="18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69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6" t="s">
        <v>693</v>
      </c>
      <c r="G311" s="176" t="s">
        <v>694</v>
      </c>
      <c r="H311" s="176" t="s">
        <v>695</v>
      </c>
      <c r="I311" s="176" t="s">
        <v>696</v>
      </c>
      <c r="J311" s="176" t="s">
        <v>697</v>
      </c>
      <c r="K311" s="176" t="s">
        <v>698</v>
      </c>
      <c r="L311" s="20"/>
      <c r="M311" s="8"/>
      <c r="N311" s="269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69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69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0</v>
      </c>
      <c r="G314" s="18">
        <v>0</v>
      </c>
      <c r="H314" s="18"/>
      <c r="I314" s="18"/>
      <c r="J314" s="18">
        <v>0</v>
      </c>
      <c r="K314" s="18"/>
      <c r="L314" s="19">
        <f>SUM(F314:K314)</f>
        <v>0</v>
      </c>
      <c r="M314" s="8"/>
      <c r="N314" s="269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68553</v>
      </c>
      <c r="G315" s="18">
        <v>15404.84</v>
      </c>
      <c r="H315" s="18"/>
      <c r="I315" s="18"/>
      <c r="J315" s="18">
        <v>926.28</v>
      </c>
      <c r="K315" s="18"/>
      <c r="L315" s="19">
        <f>SUM(F315:K315)</f>
        <v>84884.12</v>
      </c>
      <c r="M315" s="8"/>
      <c r="N315" s="269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69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69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69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620</v>
      </c>
      <c r="G319" s="18">
        <v>46.81</v>
      </c>
      <c r="H319" s="18">
        <v>20770</v>
      </c>
      <c r="I319" s="18"/>
      <c r="J319" s="18"/>
      <c r="K319" s="18"/>
      <c r="L319" s="19">
        <f t="shared" ref="L319:L325" si="16">SUM(F319:K319)</f>
        <v>21436.81</v>
      </c>
      <c r="M319" s="8"/>
      <c r="N319" s="269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25521.72</v>
      </c>
      <c r="G320" s="18">
        <v>10168.35</v>
      </c>
      <c r="H320" s="18">
        <v>956.35</v>
      </c>
      <c r="I320" s="18"/>
      <c r="J320" s="18">
        <v>1480.23</v>
      </c>
      <c r="K320" s="18"/>
      <c r="L320" s="19">
        <f t="shared" si="16"/>
        <v>38126.65</v>
      </c>
      <c r="M320" s="8"/>
      <c r="N320" s="269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69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69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69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69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69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69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69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94694.720000000001</v>
      </c>
      <c r="G328" s="42">
        <f t="shared" si="17"/>
        <v>25620</v>
      </c>
      <c r="H328" s="42">
        <f t="shared" si="17"/>
        <v>21726.35</v>
      </c>
      <c r="I328" s="42">
        <f t="shared" si="17"/>
        <v>0</v>
      </c>
      <c r="J328" s="42">
        <f t="shared" si="17"/>
        <v>2406.5100000000002</v>
      </c>
      <c r="K328" s="42">
        <f t="shared" si="17"/>
        <v>0</v>
      </c>
      <c r="L328" s="41">
        <f t="shared" si="17"/>
        <v>144447.57999999999</v>
      </c>
      <c r="M328" s="8"/>
      <c r="N328" s="269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69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6" t="s">
        <v>693</v>
      </c>
      <c r="G330" s="176" t="s">
        <v>694</v>
      </c>
      <c r="H330" s="176" t="s">
        <v>695</v>
      </c>
      <c r="I330" s="176" t="s">
        <v>696</v>
      </c>
      <c r="J330" s="176" t="s">
        <v>697</v>
      </c>
      <c r="K330" s="176" t="s">
        <v>698</v>
      </c>
      <c r="L330" s="19"/>
      <c r="M330" s="8"/>
      <c r="N330" s="269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69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11736.44</v>
      </c>
      <c r="G332" s="18">
        <v>897.85</v>
      </c>
      <c r="H332" s="18"/>
      <c r="I332" s="18">
        <v>936.09</v>
      </c>
      <c r="J332" s="18">
        <v>996</v>
      </c>
      <c r="K332" s="18"/>
      <c r="L332" s="19">
        <f t="shared" ref="L332:L337" si="18">SUM(F332:K332)</f>
        <v>14566.380000000001</v>
      </c>
      <c r="M332" s="8"/>
      <c r="N332" s="269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6641</v>
      </c>
      <c r="G333" s="18">
        <v>1448.31</v>
      </c>
      <c r="H333" s="18"/>
      <c r="I333" s="18"/>
      <c r="J333" s="18"/>
      <c r="K333" s="18"/>
      <c r="L333" s="19">
        <f t="shared" si="18"/>
        <v>8089.3099999999995</v>
      </c>
      <c r="M333" s="8"/>
      <c r="N333" s="269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69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69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69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18377.440000000002</v>
      </c>
      <c r="G337" s="41">
        <f t="shared" si="19"/>
        <v>2346.16</v>
      </c>
      <c r="H337" s="41">
        <f t="shared" si="19"/>
        <v>0</v>
      </c>
      <c r="I337" s="41">
        <f t="shared" si="19"/>
        <v>936.09</v>
      </c>
      <c r="J337" s="41">
        <f t="shared" si="19"/>
        <v>996</v>
      </c>
      <c r="K337" s="41">
        <f t="shared" si="19"/>
        <v>0</v>
      </c>
      <c r="L337" s="41">
        <f t="shared" si="18"/>
        <v>22655.690000000002</v>
      </c>
      <c r="M337" s="8"/>
      <c r="N337" s="269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659335.92999999993</v>
      </c>
      <c r="G338" s="41">
        <f t="shared" si="20"/>
        <v>212215.18000000002</v>
      </c>
      <c r="H338" s="41">
        <f t="shared" si="20"/>
        <v>134865.07</v>
      </c>
      <c r="I338" s="41">
        <f t="shared" si="20"/>
        <v>16899.54</v>
      </c>
      <c r="J338" s="41">
        <f t="shared" si="20"/>
        <v>18725.650000000001</v>
      </c>
      <c r="K338" s="41">
        <f t="shared" si="20"/>
        <v>0</v>
      </c>
      <c r="L338" s="41">
        <f t="shared" si="20"/>
        <v>1042041.3700000001</v>
      </c>
      <c r="M338" s="8"/>
      <c r="N338" s="269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69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69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69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69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6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26283.99</v>
      </c>
      <c r="L344" s="19">
        <f t="shared" ref="L344:L350" si="21">SUM(F344:K344)</f>
        <v>26283.99</v>
      </c>
      <c r="M344" s="8"/>
      <c r="N344" s="269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69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69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69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69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69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69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26283.99</v>
      </c>
      <c r="L351" s="41">
        <f>SUM(L341:L350)</f>
        <v>26283.99</v>
      </c>
      <c r="M351" s="8"/>
      <c r="N351" s="269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659335.92999999993</v>
      </c>
      <c r="G352" s="41">
        <f>G338</f>
        <v>212215.18000000002</v>
      </c>
      <c r="H352" s="41">
        <f>H338</f>
        <v>134865.07</v>
      </c>
      <c r="I352" s="41">
        <f>I338</f>
        <v>16899.54</v>
      </c>
      <c r="J352" s="41">
        <f>J338</f>
        <v>18725.650000000001</v>
      </c>
      <c r="K352" s="47">
        <f>K338+K351</f>
        <v>26283.99</v>
      </c>
      <c r="L352" s="41">
        <f>L338+L351</f>
        <v>1068325.3600000001</v>
      </c>
      <c r="M352" s="52"/>
      <c r="N352" s="216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69"/>
    </row>
    <row r="354" spans="1:22" s="3" customFormat="1" ht="12" customHeight="1" x14ac:dyDescent="0.2">
      <c r="A354" s="54"/>
      <c r="B354" s="52"/>
      <c r="C354" s="52"/>
      <c r="D354" s="52"/>
      <c r="E354" s="52"/>
      <c r="F354" s="176" t="s">
        <v>693</v>
      </c>
      <c r="G354" s="176" t="s">
        <v>694</v>
      </c>
      <c r="H354" s="176" t="s">
        <v>695</v>
      </c>
      <c r="I354" s="176" t="s">
        <v>696</v>
      </c>
      <c r="J354" s="176" t="s">
        <v>697</v>
      </c>
      <c r="K354" s="176" t="s">
        <v>698</v>
      </c>
      <c r="L354" s="53"/>
      <c r="M354" s="8"/>
      <c r="N354" s="269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69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69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69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1130.6300000000001</v>
      </c>
      <c r="G358" s="18">
        <v>86.48</v>
      </c>
      <c r="H358" s="18">
        <v>270072.09000000003</v>
      </c>
      <c r="I358" s="18">
        <v>15492.12</v>
      </c>
      <c r="J358" s="18">
        <v>101.25</v>
      </c>
      <c r="K358" s="18">
        <v>150.6</v>
      </c>
      <c r="L358" s="13">
        <f>SUM(F358:K358)</f>
        <v>287033.17</v>
      </c>
      <c r="N358" s="18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602.99</v>
      </c>
      <c r="G359" s="18">
        <v>46.12</v>
      </c>
      <c r="H359" s="18">
        <v>142696.5</v>
      </c>
      <c r="I359" s="18">
        <v>653.84</v>
      </c>
      <c r="J359" s="18">
        <v>54</v>
      </c>
      <c r="K359" s="18">
        <v>80.319999999999993</v>
      </c>
      <c r="L359" s="19">
        <f>SUM(F359:K359)</f>
        <v>144133.76999999999</v>
      </c>
      <c r="M359" s="8"/>
      <c r="N359" s="269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778.88</v>
      </c>
      <c r="G360" s="18">
        <v>59.58</v>
      </c>
      <c r="H360" s="18">
        <v>184316.31</v>
      </c>
      <c r="I360" s="18">
        <v>844.55</v>
      </c>
      <c r="J360" s="18">
        <v>69.75</v>
      </c>
      <c r="K360" s="18">
        <v>103.74</v>
      </c>
      <c r="L360" s="19">
        <f>SUM(F360:K360)</f>
        <v>186172.80999999997</v>
      </c>
      <c r="M360" s="8"/>
      <c r="N360" s="269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69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2512.5</v>
      </c>
      <c r="G362" s="47">
        <f t="shared" si="22"/>
        <v>192.18</v>
      </c>
      <c r="H362" s="47">
        <f t="shared" si="22"/>
        <v>597084.9</v>
      </c>
      <c r="I362" s="47">
        <f t="shared" si="22"/>
        <v>16990.510000000002</v>
      </c>
      <c r="J362" s="47">
        <f t="shared" si="22"/>
        <v>225</v>
      </c>
      <c r="K362" s="47">
        <f t="shared" si="22"/>
        <v>334.65999999999997</v>
      </c>
      <c r="L362" s="47">
        <f t="shared" si="22"/>
        <v>617339.74999999988</v>
      </c>
      <c r="M362" s="8"/>
      <c r="N362" s="269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9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69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69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69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6419.78</v>
      </c>
      <c r="G367" s="18">
        <v>3423.88</v>
      </c>
      <c r="H367" s="18">
        <v>4422.51</v>
      </c>
      <c r="I367" s="56">
        <f>SUM(F367:H367)</f>
        <v>14266.17</v>
      </c>
      <c r="J367" s="24" t="s">
        <v>289</v>
      </c>
      <c r="K367" s="24" t="s">
        <v>289</v>
      </c>
      <c r="L367" s="24" t="s">
        <v>289</v>
      </c>
      <c r="M367" s="8"/>
      <c r="N367" s="269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1225.95</v>
      </c>
      <c r="G368" s="63">
        <v>653.84</v>
      </c>
      <c r="H368" s="63">
        <v>844.55</v>
      </c>
      <c r="I368" s="56">
        <f>SUM(F368:H368)</f>
        <v>2724.34</v>
      </c>
      <c r="J368" s="24" t="s">
        <v>289</v>
      </c>
      <c r="K368" s="24" t="s">
        <v>289</v>
      </c>
      <c r="L368" s="24" t="s">
        <v>289</v>
      </c>
      <c r="M368" s="8"/>
      <c r="N368" s="269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7645.73</v>
      </c>
      <c r="G369" s="47">
        <f>SUM(G367:G368)</f>
        <v>4077.7200000000003</v>
      </c>
      <c r="H369" s="47">
        <f>SUM(H367:H368)</f>
        <v>5267.06</v>
      </c>
      <c r="I369" s="47">
        <f>SUM(I367:I368)</f>
        <v>16990.510000000002</v>
      </c>
      <c r="J369" s="24" t="s">
        <v>289</v>
      </c>
      <c r="K369" s="24" t="s">
        <v>289</v>
      </c>
      <c r="L369" s="24" t="s">
        <v>289</v>
      </c>
      <c r="M369" s="8"/>
      <c r="N369" s="269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69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6" t="s">
        <v>693</v>
      </c>
      <c r="G371" s="176" t="s">
        <v>694</v>
      </c>
      <c r="H371" s="176" t="s">
        <v>695</v>
      </c>
      <c r="I371" s="176" t="s">
        <v>696</v>
      </c>
      <c r="J371" s="176" t="s">
        <v>697</v>
      </c>
      <c r="K371" s="176" t="s">
        <v>698</v>
      </c>
      <c r="L371" s="13"/>
      <c r="M371" s="8"/>
      <c r="N371" s="269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69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69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69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69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69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69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69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69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69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69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69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69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69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69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69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69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69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332212</v>
      </c>
      <c r="H389" s="18">
        <v>1066.98</v>
      </c>
      <c r="I389" s="18"/>
      <c r="J389" s="24" t="s">
        <v>289</v>
      </c>
      <c r="K389" s="24" t="s">
        <v>289</v>
      </c>
      <c r="L389" s="56">
        <f t="shared" si="25"/>
        <v>333278.98</v>
      </c>
      <c r="M389" s="8"/>
      <c r="N389" s="269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69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69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0.16</v>
      </c>
      <c r="I392" s="18"/>
      <c r="J392" s="24" t="s">
        <v>289</v>
      </c>
      <c r="K392" s="24" t="s">
        <v>289</v>
      </c>
      <c r="L392" s="56">
        <f t="shared" si="25"/>
        <v>0.16</v>
      </c>
      <c r="M392" s="8"/>
      <c r="N392" s="269"/>
    </row>
    <row r="393" spans="1:14" s="3" customFormat="1" ht="12" customHeight="1" thickTop="1" x14ac:dyDescent="0.15">
      <c r="A393" s="159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332212</v>
      </c>
      <c r="H393" s="139">
        <f>SUM(H387:H392)</f>
        <v>1067.1400000000001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333279.13999999996</v>
      </c>
      <c r="M393" s="8"/>
      <c r="N393" s="269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69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69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5.97</v>
      </c>
      <c r="I396" s="18"/>
      <c r="J396" s="24" t="s">
        <v>289</v>
      </c>
      <c r="K396" s="24" t="s">
        <v>289</v>
      </c>
      <c r="L396" s="56">
        <f t="shared" si="26"/>
        <v>5.97</v>
      </c>
      <c r="M396" s="8"/>
      <c r="N396" s="269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>
        <v>251.08</v>
      </c>
      <c r="I397" s="18"/>
      <c r="J397" s="24" t="s">
        <v>289</v>
      </c>
      <c r="K397" s="24" t="s">
        <v>289</v>
      </c>
      <c r="L397" s="56">
        <f t="shared" si="26"/>
        <v>50251.08</v>
      </c>
      <c r="M397" s="8"/>
      <c r="N397" s="269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69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69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32946.81</v>
      </c>
      <c r="I400" s="18"/>
      <c r="J400" s="24" t="s">
        <v>289</v>
      </c>
      <c r="K400" s="24" t="s">
        <v>289</v>
      </c>
      <c r="L400" s="56">
        <f t="shared" si="26"/>
        <v>32946.81</v>
      </c>
      <c r="M400" s="8"/>
      <c r="N400" s="269"/>
    </row>
    <row r="401" spans="1:21" s="3" customFormat="1" ht="12" customHeight="1" thickTop="1" x14ac:dyDescent="0.15">
      <c r="A401" s="159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33203.86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83203.86</v>
      </c>
      <c r="M401" s="8"/>
      <c r="N401" s="269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69"/>
    </row>
    <row r="403" spans="1:21" s="3" customFormat="1" ht="12" customHeight="1" x14ac:dyDescent="0.15">
      <c r="A403" s="110" t="s">
        <v>912</v>
      </c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>
        <v>27865.45</v>
      </c>
      <c r="I403" s="18"/>
      <c r="J403" s="24" t="s">
        <v>289</v>
      </c>
      <c r="K403" s="24" t="s">
        <v>289</v>
      </c>
      <c r="L403" s="56">
        <f>SUM(F403:K403)</f>
        <v>27865.45</v>
      </c>
      <c r="M403" s="8"/>
      <c r="N403" s="269"/>
    </row>
    <row r="404" spans="1:21" s="3" customFormat="1" ht="12" customHeight="1" x14ac:dyDescent="0.15">
      <c r="A404" s="110" t="s">
        <v>913</v>
      </c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>
        <v>1234.53</v>
      </c>
      <c r="I404" s="18"/>
      <c r="J404" s="24" t="s">
        <v>289</v>
      </c>
      <c r="K404" s="24" t="s">
        <v>289</v>
      </c>
      <c r="L404" s="56">
        <f>SUM(F404:K404)</f>
        <v>1234.53</v>
      </c>
      <c r="M404" s="8"/>
      <c r="N404" s="269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69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69"/>
    </row>
    <row r="407" spans="1:21" s="3" customFormat="1" ht="12" customHeight="1" thickTop="1" thickBot="1" x14ac:dyDescent="0.2">
      <c r="A407" s="159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29099.98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29099.98</v>
      </c>
      <c r="M407" s="8"/>
      <c r="N407" s="269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382212</v>
      </c>
      <c r="H408" s="47">
        <f>H393+H401+H407</f>
        <v>63370.979999999996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445582.97999999992</v>
      </c>
      <c r="M408" s="8"/>
      <c r="N408" s="269"/>
    </row>
    <row r="409" spans="1:21" s="3" customFormat="1" ht="12" customHeight="1" x14ac:dyDescent="0.15">
      <c r="A409" s="78"/>
      <c r="B409" s="2"/>
      <c r="C409" s="6"/>
      <c r="D409" s="6"/>
      <c r="E409" s="6"/>
      <c r="F409" s="176" t="s">
        <v>693</v>
      </c>
      <c r="G409" s="176" t="s">
        <v>694</v>
      </c>
      <c r="H409" s="176" t="s">
        <v>695</v>
      </c>
      <c r="I409" s="176" t="s">
        <v>696</v>
      </c>
      <c r="J409" s="176" t="s">
        <v>697</v>
      </c>
      <c r="K409" s="176" t="s">
        <v>698</v>
      </c>
      <c r="L409" s="56"/>
      <c r="M409" s="8"/>
      <c r="N409" s="269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69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69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69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69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6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>
        <v>111754.14</v>
      </c>
      <c r="I415" s="18"/>
      <c r="J415" s="18"/>
      <c r="K415" s="18"/>
      <c r="L415" s="56">
        <f t="shared" si="27"/>
        <v>111754.14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69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69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>
        <v>0.54</v>
      </c>
      <c r="I418" s="18"/>
      <c r="J418" s="18"/>
      <c r="K418" s="18">
        <v>96.3</v>
      </c>
      <c r="L418" s="56">
        <f t="shared" si="27"/>
        <v>96.84</v>
      </c>
      <c r="M418" s="8"/>
      <c r="N418" s="269"/>
    </row>
    <row r="419" spans="1:21" s="3" customFormat="1" ht="12" customHeight="1" thickTop="1" x14ac:dyDescent="0.15">
      <c r="A419" s="159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111754.68</v>
      </c>
      <c r="I419" s="139">
        <f t="shared" si="28"/>
        <v>0</v>
      </c>
      <c r="J419" s="139">
        <f t="shared" si="28"/>
        <v>0</v>
      </c>
      <c r="K419" s="139">
        <f t="shared" si="28"/>
        <v>96.3</v>
      </c>
      <c r="L419" s="47">
        <f t="shared" si="28"/>
        <v>111850.98</v>
      </c>
      <c r="M419" s="8"/>
      <c r="N419" s="269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69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69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21.15</v>
      </c>
      <c r="I422" s="18"/>
      <c r="J422" s="18"/>
      <c r="K422" s="18">
        <v>3924.79</v>
      </c>
      <c r="L422" s="56">
        <f t="shared" si="29"/>
        <v>3945.94</v>
      </c>
      <c r="M422" s="8"/>
      <c r="N422" s="269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>
        <v>1068.8499999999999</v>
      </c>
      <c r="I423" s="18"/>
      <c r="J423" s="18"/>
      <c r="K423" s="18"/>
      <c r="L423" s="56">
        <f t="shared" si="29"/>
        <v>1068.8499999999999</v>
      </c>
      <c r="M423" s="8"/>
      <c r="N423" s="269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69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69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>
        <v>103363.73</v>
      </c>
      <c r="G426" s="18">
        <v>22492.799999999999</v>
      </c>
      <c r="H426" s="18">
        <v>8636.36</v>
      </c>
      <c r="I426" s="18">
        <v>5581.31</v>
      </c>
      <c r="J426" s="18">
        <v>5324</v>
      </c>
      <c r="K426" s="18">
        <v>13745.43</v>
      </c>
      <c r="L426" s="56">
        <f t="shared" si="29"/>
        <v>159143.63</v>
      </c>
      <c r="M426" s="8"/>
      <c r="N426" s="269"/>
    </row>
    <row r="427" spans="1:21" s="3" customFormat="1" ht="12" customHeight="1" thickTop="1" x14ac:dyDescent="0.15">
      <c r="A427" s="159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103363.73</v>
      </c>
      <c r="G427" s="47">
        <f t="shared" si="30"/>
        <v>22492.799999999999</v>
      </c>
      <c r="H427" s="47">
        <f t="shared" si="30"/>
        <v>9726.36</v>
      </c>
      <c r="I427" s="47">
        <f t="shared" si="30"/>
        <v>5581.31</v>
      </c>
      <c r="J427" s="47">
        <f t="shared" si="30"/>
        <v>5324</v>
      </c>
      <c r="K427" s="47">
        <f t="shared" si="30"/>
        <v>17670.22</v>
      </c>
      <c r="L427" s="47">
        <f t="shared" si="30"/>
        <v>164158.42000000001</v>
      </c>
      <c r="M427" s="8"/>
      <c r="N427" s="269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912</v>
      </c>
      <c r="B429" s="6">
        <v>17</v>
      </c>
      <c r="C429" s="6">
        <v>15</v>
      </c>
      <c r="D429" s="2" t="s">
        <v>433</v>
      </c>
      <c r="E429" s="6"/>
      <c r="F429" s="18"/>
      <c r="G429" s="18"/>
      <c r="H429" s="18">
        <v>24342.76</v>
      </c>
      <c r="I429" s="18"/>
      <c r="J429" s="18"/>
      <c r="K429" s="18"/>
      <c r="L429" s="56">
        <f>SUM(F429:K429)</f>
        <v>24342.76</v>
      </c>
      <c r="M429" s="68"/>
      <c r="N429" s="226"/>
    </row>
    <row r="430" spans="1:21" s="58" customFormat="1" ht="12" customHeight="1" x14ac:dyDescent="0.15">
      <c r="A430" s="110" t="s">
        <v>913</v>
      </c>
      <c r="B430" s="6">
        <v>17</v>
      </c>
      <c r="C430" s="6">
        <v>16</v>
      </c>
      <c r="D430" s="2" t="s">
        <v>433</v>
      </c>
      <c r="E430" s="6"/>
      <c r="F430" s="18"/>
      <c r="G430" s="18"/>
      <c r="H430" s="18">
        <v>17307.57</v>
      </c>
      <c r="I430" s="18"/>
      <c r="J430" s="18"/>
      <c r="K430" s="18"/>
      <c r="L430" s="56">
        <f>SUM(F430:K430)</f>
        <v>17307.57</v>
      </c>
      <c r="M430" s="68"/>
      <c r="N430" s="226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69"/>
    </row>
    <row r="433" spans="1:14" s="3" customFormat="1" ht="12" customHeight="1" thickTop="1" thickBot="1" x14ac:dyDescent="0.2">
      <c r="A433" s="159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41650.33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41650.33</v>
      </c>
      <c r="M433" s="8"/>
      <c r="N433" s="269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103363.73</v>
      </c>
      <c r="G434" s="47">
        <f t="shared" si="32"/>
        <v>22492.799999999999</v>
      </c>
      <c r="H434" s="47">
        <f t="shared" si="32"/>
        <v>163131.37</v>
      </c>
      <c r="I434" s="47">
        <f t="shared" si="32"/>
        <v>5581.31</v>
      </c>
      <c r="J434" s="47">
        <f t="shared" si="32"/>
        <v>5324</v>
      </c>
      <c r="K434" s="47">
        <f t="shared" si="32"/>
        <v>17766.52</v>
      </c>
      <c r="L434" s="47">
        <f t="shared" si="32"/>
        <v>317659.73000000004</v>
      </c>
      <c r="M434" s="8"/>
      <c r="N434" s="269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69"/>
    </row>
    <row r="436" spans="1:14" s="3" customFormat="1" ht="12" customHeight="1" x14ac:dyDescent="0.15">
      <c r="A436" s="34" t="s">
        <v>0</v>
      </c>
      <c r="K436" s="56"/>
      <c r="L436" s="13"/>
      <c r="M436" s="8"/>
      <c r="N436" s="269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69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69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69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573334.5</v>
      </c>
      <c r="G440" s="18">
        <v>1108118.3999999999</v>
      </c>
      <c r="H440" s="18">
        <v>817673.61</v>
      </c>
      <c r="I440" s="56">
        <f t="shared" si="33"/>
        <v>2499126.5099999998</v>
      </c>
      <c r="J440" s="24" t="s">
        <v>289</v>
      </c>
      <c r="K440" s="24" t="s">
        <v>289</v>
      </c>
      <c r="L440" s="24" t="s">
        <v>289</v>
      </c>
      <c r="M440" s="8"/>
      <c r="N440" s="269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69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69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69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69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69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573334.5</v>
      </c>
      <c r="G446" s="13">
        <f>SUM(G439:G445)</f>
        <v>1108118.3999999999</v>
      </c>
      <c r="H446" s="13">
        <f>SUM(H439:H445)</f>
        <v>817673.61</v>
      </c>
      <c r="I446" s="13">
        <f>SUM(I439:I445)</f>
        <v>2499126.5099999998</v>
      </c>
      <c r="J446" s="24" t="s">
        <v>289</v>
      </c>
      <c r="K446" s="24" t="s">
        <v>289</v>
      </c>
      <c r="L446" s="24" t="s">
        <v>289</v>
      </c>
      <c r="M446" s="8"/>
      <c r="N446" s="269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69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69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>
        <v>10000</v>
      </c>
      <c r="H449" s="18">
        <v>17000</v>
      </c>
      <c r="I449" s="56">
        <f>SUM(F449:H449)</f>
        <v>27000</v>
      </c>
      <c r="J449" s="24" t="s">
        <v>289</v>
      </c>
      <c r="K449" s="24" t="s">
        <v>289</v>
      </c>
      <c r="L449" s="24" t="s">
        <v>289</v>
      </c>
      <c r="M449" s="8"/>
      <c r="N449" s="269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69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69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10000</v>
      </c>
      <c r="H452" s="72">
        <f>SUM(H448:H451)</f>
        <v>17000</v>
      </c>
      <c r="I452" s="72">
        <f>SUM(I448:I451)</f>
        <v>27000</v>
      </c>
      <c r="J452" s="24" t="s">
        <v>289</v>
      </c>
      <c r="K452" s="24" t="s">
        <v>289</v>
      </c>
      <c r="L452" s="24" t="s">
        <v>289</v>
      </c>
      <c r="M452" s="8"/>
      <c r="N452" s="269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69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69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4"/>
      <c r="G455" s="4"/>
      <c r="H455" s="18"/>
      <c r="I455" s="56">
        <f t="shared" si="34"/>
        <v>0</v>
      </c>
      <c r="J455" s="24"/>
      <c r="K455" s="24"/>
      <c r="L455" s="24"/>
      <c r="M455" s="8"/>
      <c r="N455" s="269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573334.5</v>
      </c>
      <c r="G456" s="18">
        <f>1108118.4-10000</f>
        <v>1098118.3999999999</v>
      </c>
      <c r="H456" s="18"/>
      <c r="I456" s="56">
        <f>SUM(F456:H456)</f>
        <v>1671452.9</v>
      </c>
      <c r="J456" s="24" t="s">
        <v>289</v>
      </c>
      <c r="K456" s="24" t="s">
        <v>289</v>
      </c>
      <c r="L456" s="24" t="s">
        <v>289</v>
      </c>
      <c r="M456" s="8"/>
      <c r="N456" s="269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>
        <f>17422.79+762740.59</f>
        <v>780163.38</v>
      </c>
      <c r="I457" s="56">
        <f>SUM(F457:H457)</f>
        <v>780163.38</v>
      </c>
      <c r="J457" s="24" t="s">
        <v>289</v>
      </c>
      <c r="K457" s="24" t="s">
        <v>289</v>
      </c>
      <c r="L457" s="24" t="s">
        <v>289</v>
      </c>
      <c r="M457" s="68"/>
      <c r="N457" s="226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>
        <f>17367.77+20142.46-17000</f>
        <v>20510.229999999996</v>
      </c>
      <c r="I458" s="56">
        <f t="shared" si="34"/>
        <v>20510.229999999996</v>
      </c>
      <c r="J458" s="24"/>
      <c r="K458" s="24"/>
      <c r="L458" s="24"/>
      <c r="M458" s="52"/>
      <c r="N458" s="216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>
        <v>0</v>
      </c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16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573334.5</v>
      </c>
      <c r="G460" s="83">
        <f>SUM(G454:G459)</f>
        <v>1098118.3999999999</v>
      </c>
      <c r="H460" s="83">
        <f>SUM(H454:H459)</f>
        <v>800673.61</v>
      </c>
      <c r="I460" s="83">
        <f>SUM(I454:I459)</f>
        <v>2472126.5099999998</v>
      </c>
      <c r="J460" s="24" t="s">
        <v>289</v>
      </c>
      <c r="K460" s="24" t="s">
        <v>289</v>
      </c>
      <c r="L460" s="24" t="s">
        <v>289</v>
      </c>
      <c r="N460" s="216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6" t="s">
        <v>433</v>
      </c>
      <c r="E461" s="82"/>
      <c r="F461" s="42">
        <f>F452+F460</f>
        <v>573334.5</v>
      </c>
      <c r="G461" s="42">
        <f>G452+G460</f>
        <v>1108118.3999999999</v>
      </c>
      <c r="H461" s="42">
        <f>H452+H460</f>
        <v>817673.61</v>
      </c>
      <c r="I461" s="42">
        <f>I452+I460</f>
        <v>2499126.5099999998</v>
      </c>
      <c r="J461" s="24" t="s">
        <v>289</v>
      </c>
      <c r="K461" s="24" t="s">
        <v>289</v>
      </c>
      <c r="L461" s="24" t="s">
        <v>289</v>
      </c>
      <c r="N461" s="216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6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6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6"/>
    </row>
    <row r="465" spans="1:14" s="52" customFormat="1" ht="12" customHeight="1" x14ac:dyDescent="0.2">
      <c r="A465" s="188" t="s">
        <v>891</v>
      </c>
      <c r="B465" s="105">
        <v>19</v>
      </c>
      <c r="C465" s="111">
        <v>1</v>
      </c>
      <c r="D465" s="2" t="s">
        <v>433</v>
      </c>
      <c r="E465" s="111"/>
      <c r="F465" s="18">
        <v>1191348.3500000001</v>
      </c>
      <c r="G465" s="18">
        <v>147.19</v>
      </c>
      <c r="H465" s="18">
        <v>0</v>
      </c>
      <c r="I465" s="18">
        <v>0</v>
      </c>
      <c r="J465" s="18">
        <v>2344203.2599999998</v>
      </c>
      <c r="K465" s="24" t="s">
        <v>289</v>
      </c>
      <c r="L465" s="24" t="s">
        <v>289</v>
      </c>
      <c r="N465" s="216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6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6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23185541.489999998</v>
      </c>
      <c r="G468" s="18">
        <v>614333.6</v>
      </c>
      <c r="H468" s="18">
        <f>1068325.36+1665</f>
        <v>1069990.3600000001</v>
      </c>
      <c r="I468" s="18">
        <v>0</v>
      </c>
      <c r="J468" s="18">
        <v>445582.98</v>
      </c>
      <c r="K468" s="24" t="s">
        <v>289</v>
      </c>
      <c r="L468" s="24" t="s">
        <v>289</v>
      </c>
      <c r="N468" s="216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17002</v>
      </c>
      <c r="H469" s="18"/>
      <c r="I469" s="18"/>
      <c r="J469" s="18"/>
      <c r="K469" s="24" t="s">
        <v>289</v>
      </c>
      <c r="L469" s="24" t="s">
        <v>289</v>
      </c>
      <c r="N469" s="216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23185541.489999998</v>
      </c>
      <c r="G470" s="53">
        <f>SUM(G468:G469)</f>
        <v>631335.6</v>
      </c>
      <c r="H470" s="53">
        <f>SUM(H468:H469)</f>
        <v>1069990.3600000001</v>
      </c>
      <c r="I470" s="53">
        <f>SUM(I468:I469)</f>
        <v>0</v>
      </c>
      <c r="J470" s="53">
        <f>SUM(J468:J469)</f>
        <v>445582.98</v>
      </c>
      <c r="K470" s="24" t="s">
        <v>289</v>
      </c>
      <c r="L470" s="24" t="s">
        <v>289</v>
      </c>
      <c r="N470" s="216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6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23462568.969999999</v>
      </c>
      <c r="G472" s="18">
        <v>617339.75</v>
      </c>
      <c r="H472" s="18">
        <v>1068325.3600000001</v>
      </c>
      <c r="I472" s="18">
        <v>0</v>
      </c>
      <c r="J472" s="18">
        <v>317659.73</v>
      </c>
      <c r="K472" s="24" t="s">
        <v>289</v>
      </c>
      <c r="L472" s="24" t="s">
        <v>289</v>
      </c>
      <c r="N472" s="216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6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23462568.969999999</v>
      </c>
      <c r="G474" s="53">
        <f>SUM(G472:G473)</f>
        <v>617339.75</v>
      </c>
      <c r="H474" s="53">
        <f>SUM(H472:H473)</f>
        <v>1068325.3600000001</v>
      </c>
      <c r="I474" s="53">
        <f>SUM(I472:I473)</f>
        <v>0</v>
      </c>
      <c r="J474" s="53">
        <f>SUM(J472:J473)</f>
        <v>317659.73</v>
      </c>
      <c r="K474" s="24" t="s">
        <v>289</v>
      </c>
      <c r="L474" s="24" t="s">
        <v>289</v>
      </c>
      <c r="N474" s="216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6"/>
    </row>
    <row r="476" spans="1:14" s="52" customFormat="1" ht="12" customHeight="1" x14ac:dyDescent="0.2">
      <c r="A476" s="189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914320.87000000104</v>
      </c>
      <c r="G476" s="53">
        <f>(G465+G470)- G474</f>
        <v>14143.039999999921</v>
      </c>
      <c r="H476" s="53">
        <f>(H465+H470)- H474</f>
        <v>1665</v>
      </c>
      <c r="I476" s="53">
        <f>(I465+I470)- I474</f>
        <v>0</v>
      </c>
      <c r="J476" s="53">
        <f>(J465+J470)- J474</f>
        <v>2472126.5099999998</v>
      </c>
      <c r="K476" s="24" t="s">
        <v>289</v>
      </c>
      <c r="L476" s="24" t="s">
        <v>289</v>
      </c>
      <c r="N476" s="216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6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6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6"/>
    </row>
    <row r="480" spans="1:14" s="52" customFormat="1" ht="12" customHeight="1" x14ac:dyDescent="0.2">
      <c r="A480" s="18" t="s">
        <v>911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6"/>
    </row>
    <row r="481" spans="1:14" s="52" customFormat="1" ht="12" customHeight="1" x14ac:dyDescent="0.2">
      <c r="A481" s="174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6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6"/>
    </row>
    <row r="483" spans="1:14" s="52" customFormat="1" ht="12" customHeight="1" x14ac:dyDescent="0.2">
      <c r="A483" s="173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6"/>
    </row>
    <row r="484" spans="1:14" s="52" customFormat="1" ht="12" customHeight="1" x14ac:dyDescent="0.2">
      <c r="A484" s="173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6"/>
    </row>
    <row r="485" spans="1:14" s="52" customFormat="1" ht="12" customHeight="1" x14ac:dyDescent="0.2">
      <c r="A485" s="173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6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6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6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6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6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15</v>
      </c>
      <c r="H490" s="154"/>
      <c r="I490" s="154"/>
      <c r="J490" s="154"/>
      <c r="K490" s="24" t="s">
        <v>289</v>
      </c>
      <c r="L490" s="24" t="s">
        <v>289</v>
      </c>
      <c r="N490" s="216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271" t="s">
        <v>918</v>
      </c>
      <c r="G491" s="271" t="s">
        <v>920</v>
      </c>
      <c r="H491" s="154"/>
      <c r="I491" s="154"/>
      <c r="J491" s="154"/>
      <c r="K491" s="24" t="s">
        <v>289</v>
      </c>
      <c r="L491" s="24" t="s">
        <v>289</v>
      </c>
      <c r="N491" s="216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271" t="s">
        <v>919</v>
      </c>
      <c r="G492" s="271" t="s">
        <v>921</v>
      </c>
      <c r="H492" s="154"/>
      <c r="I492" s="154"/>
      <c r="J492" s="154"/>
      <c r="K492" s="24" t="s">
        <v>289</v>
      </c>
      <c r="L492" s="24" t="s">
        <v>289</v>
      </c>
      <c r="N492" s="216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631625</v>
      </c>
      <c r="G493" s="18">
        <v>9247684</v>
      </c>
      <c r="H493" s="18"/>
      <c r="I493" s="18"/>
      <c r="J493" s="18"/>
      <c r="K493" s="24" t="s">
        <v>289</v>
      </c>
      <c r="L493" s="24" t="s">
        <v>289</v>
      </c>
      <c r="N493" s="216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</v>
      </c>
      <c r="G494" s="18">
        <v>5</v>
      </c>
      <c r="H494" s="18"/>
      <c r="I494" s="18"/>
      <c r="J494" s="18"/>
      <c r="K494" s="24" t="s">
        <v>289</v>
      </c>
      <c r="L494" s="24" t="s">
        <v>289</v>
      </c>
      <c r="N494" s="216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180000</v>
      </c>
      <c r="G495" s="18">
        <v>5535000</v>
      </c>
      <c r="H495" s="18"/>
      <c r="I495" s="18"/>
      <c r="J495" s="18"/>
      <c r="K495" s="53">
        <f>SUM(F495:J495)</f>
        <v>5715000</v>
      </c>
      <c r="L495" s="24" t="s">
        <v>289</v>
      </c>
      <c r="N495" s="216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6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60000</v>
      </c>
      <c r="G497" s="18">
        <v>615000</v>
      </c>
      <c r="H497" s="18"/>
      <c r="I497" s="18"/>
      <c r="J497" s="18"/>
      <c r="K497" s="53">
        <f t="shared" si="35"/>
        <v>675000</v>
      </c>
      <c r="L497" s="24" t="s">
        <v>289</v>
      </c>
      <c r="N497" s="216"/>
    </row>
    <row r="498" spans="1:14" s="52" customFormat="1" ht="12" customHeight="1" x14ac:dyDescent="0.2">
      <c r="A498" s="199" t="s">
        <v>626</v>
      </c>
      <c r="B498" s="200">
        <v>20</v>
      </c>
      <c r="C498" s="201">
        <v>9</v>
      </c>
      <c r="D498" s="202" t="s">
        <v>433</v>
      </c>
      <c r="E498" s="201"/>
      <c r="F498" s="203">
        <v>120000</v>
      </c>
      <c r="G498" s="203">
        <v>4920000</v>
      </c>
      <c r="H498" s="203"/>
      <c r="I498" s="203"/>
      <c r="J498" s="203"/>
      <c r="K498" s="204">
        <f t="shared" si="35"/>
        <v>5040000</v>
      </c>
      <c r="L498" s="205" t="s">
        <v>289</v>
      </c>
      <c r="N498" s="216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6000</v>
      </c>
      <c r="G499" s="18">
        <v>930956.26</v>
      </c>
      <c r="H499" s="18"/>
      <c r="I499" s="18"/>
      <c r="J499" s="18"/>
      <c r="K499" s="53">
        <f t="shared" si="35"/>
        <v>936956.26</v>
      </c>
      <c r="L499" s="24" t="s">
        <v>289</v>
      </c>
      <c r="N499" s="216"/>
    </row>
    <row r="500" spans="1:14" s="52" customFormat="1" ht="12" customHeight="1" thickTop="1" x14ac:dyDescent="0.2">
      <c r="A500" s="139" t="s">
        <v>628</v>
      </c>
      <c r="B500" s="44">
        <v>20</v>
      </c>
      <c r="C500" s="194">
        <v>11</v>
      </c>
      <c r="D500" s="39" t="s">
        <v>433</v>
      </c>
      <c r="E500" s="194"/>
      <c r="F500" s="42">
        <f>SUM(F498:F499)</f>
        <v>126000</v>
      </c>
      <c r="G500" s="42">
        <f>SUM(G498:G499)</f>
        <v>5850956.2599999998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5976956.2599999998</v>
      </c>
      <c r="L500" s="45" t="s">
        <v>289</v>
      </c>
      <c r="N500" s="216"/>
    </row>
    <row r="501" spans="1:14" s="52" customFormat="1" ht="12" customHeight="1" x14ac:dyDescent="0.2">
      <c r="A501" s="199" t="s">
        <v>655</v>
      </c>
      <c r="B501" s="200">
        <v>20</v>
      </c>
      <c r="C501" s="201">
        <v>12</v>
      </c>
      <c r="D501" s="202" t="s">
        <v>433</v>
      </c>
      <c r="E501" s="201"/>
      <c r="F501" s="203">
        <v>60000</v>
      </c>
      <c r="G501" s="203">
        <v>615000</v>
      </c>
      <c r="H501" s="203"/>
      <c r="I501" s="203"/>
      <c r="J501" s="203"/>
      <c r="K501" s="204">
        <f t="shared" si="35"/>
        <v>675000</v>
      </c>
      <c r="L501" s="205" t="s">
        <v>289</v>
      </c>
      <c r="N501" s="216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4500</v>
      </c>
      <c r="G502" s="18">
        <v>221400</v>
      </c>
      <c r="H502" s="18"/>
      <c r="I502" s="18"/>
      <c r="J502" s="18"/>
      <c r="K502" s="53">
        <f t="shared" si="35"/>
        <v>225900</v>
      </c>
      <c r="L502" s="24" t="s">
        <v>289</v>
      </c>
      <c r="N502" s="216"/>
    </row>
    <row r="503" spans="1:14" s="52" customFormat="1" ht="12" customHeight="1" thickTop="1" x14ac:dyDescent="0.2">
      <c r="A503" s="139" t="s">
        <v>630</v>
      </c>
      <c r="B503" s="44">
        <v>20</v>
      </c>
      <c r="C503" s="194">
        <v>14</v>
      </c>
      <c r="D503" s="39" t="s">
        <v>433</v>
      </c>
      <c r="E503" s="194"/>
      <c r="F503" s="42">
        <f>SUM(F501:F502)</f>
        <v>64500</v>
      </c>
      <c r="G503" s="42">
        <f>SUM(G501:G502)</f>
        <v>836400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900900</v>
      </c>
      <c r="L503" s="45" t="s">
        <v>289</v>
      </c>
      <c r="N503" s="216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6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6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6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1475620.45</v>
      </c>
      <c r="G507" s="144"/>
      <c r="H507" s="144">
        <v>-86007.02</v>
      </c>
      <c r="I507" s="144">
        <v>1389613.45</v>
      </c>
      <c r="J507" s="24" t="s">
        <v>289</v>
      </c>
      <c r="K507" s="24" t="s">
        <v>289</v>
      </c>
      <c r="L507" s="24" t="s">
        <v>289</v>
      </c>
      <c r="N507" s="216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6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6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6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>
        <v>615613.15</v>
      </c>
      <c r="G511" s="24" t="s">
        <v>289</v>
      </c>
      <c r="H511" s="18">
        <v>615613.15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16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v>131796</v>
      </c>
      <c r="G512" s="24" t="s">
        <v>289</v>
      </c>
      <c r="H512" s="18">
        <v>131796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16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25006752.120000001</v>
      </c>
      <c r="G513" s="24" t="s">
        <v>289</v>
      </c>
      <c r="H513" s="18">
        <v>24490540.120000001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16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1143394.6399999999</v>
      </c>
      <c r="G514" s="24" t="s">
        <v>289</v>
      </c>
      <c r="H514" s="18">
        <f>1117456.84+65918</f>
        <v>1183374.8400000001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16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>
        <v>27000</v>
      </c>
      <c r="I515" s="24" t="s">
        <v>289</v>
      </c>
      <c r="J515" s="24" t="s">
        <v>289</v>
      </c>
      <c r="K515" s="24" t="s">
        <v>289</v>
      </c>
      <c r="L515" s="24" t="s">
        <v>289</v>
      </c>
      <c r="N515" s="216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6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26897555.91</v>
      </c>
      <c r="G517" s="42">
        <f>SUM(G511:G516)</f>
        <v>0</v>
      </c>
      <c r="H517" s="42">
        <f>SUM(H511:H516)</f>
        <v>26448324.109999999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6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6" t="s">
        <v>693</v>
      </c>
      <c r="G518" s="176" t="s">
        <v>694</v>
      </c>
      <c r="H518" s="176" t="s">
        <v>695</v>
      </c>
      <c r="I518" s="176" t="s">
        <v>696</v>
      </c>
      <c r="J518" s="176" t="s">
        <v>697</v>
      </c>
      <c r="K518" s="176" t="s">
        <v>698</v>
      </c>
      <c r="L518" s="106"/>
      <c r="N518" s="216"/>
    </row>
    <row r="519" spans="1:14" s="52" customFormat="1" ht="12" customHeight="1" x14ac:dyDescent="0.2">
      <c r="A519" s="177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6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6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1005935.59+29475+59512.91</f>
        <v>1094923.5</v>
      </c>
      <c r="G521" s="18">
        <f>488336.34+13723.24+20639.94</f>
        <v>522699.52000000002</v>
      </c>
      <c r="H521" s="18">
        <f>397731.92+2332.39</f>
        <v>400064.31</v>
      </c>
      <c r="I521" s="18">
        <f>11143.59+607.05+305.16</f>
        <v>12055.8</v>
      </c>
      <c r="J521" s="18">
        <f>15733.7+1344.6+1224</f>
        <v>18302.3</v>
      </c>
      <c r="K521" s="18"/>
      <c r="L521" s="88">
        <f>SUM(F521:K521)</f>
        <v>2048045.4300000002</v>
      </c>
      <c r="N521" s="216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670626.79+15720</f>
        <v>686346.79</v>
      </c>
      <c r="G522" s="18">
        <f>393427.7+7319.06</f>
        <v>400746.76</v>
      </c>
      <c r="H522" s="18">
        <f>330766.85</f>
        <v>330766.84999999998</v>
      </c>
      <c r="I522" s="18">
        <f>6824.47+323.76</f>
        <v>7148.2300000000005</v>
      </c>
      <c r="J522" s="18">
        <f>5949.87+717.12</f>
        <v>6666.99</v>
      </c>
      <c r="K522" s="18"/>
      <c r="L522" s="88">
        <f>SUM(F522:K522)</f>
        <v>1431675.6199999999</v>
      </c>
      <c r="N522" s="216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719599.09+20305+68553</f>
        <v>808457.09</v>
      </c>
      <c r="G523" s="18">
        <f>362683.18+9453.78+15328.37</f>
        <v>387465.33</v>
      </c>
      <c r="H523" s="18">
        <f>193844.93</f>
        <v>193844.93</v>
      </c>
      <c r="I523" s="18">
        <f>8196.19+418.19</f>
        <v>8614.380000000001</v>
      </c>
      <c r="J523" s="18">
        <f>2613.11+926.28</f>
        <v>3539.3900000000003</v>
      </c>
      <c r="K523" s="18"/>
      <c r="L523" s="88">
        <f>SUM(F523:K523)</f>
        <v>1401921.1199999996</v>
      </c>
      <c r="N523" s="216"/>
    </row>
    <row r="524" spans="1:14" s="52" customFormat="1" ht="12" customHeight="1" thickTop="1" x14ac:dyDescent="0.2">
      <c r="A524" s="139" t="s">
        <v>63</v>
      </c>
      <c r="B524" s="107">
        <v>21</v>
      </c>
      <c r="C524" s="194">
        <v>4</v>
      </c>
      <c r="D524" s="195" t="s">
        <v>433</v>
      </c>
      <c r="E524" s="194"/>
      <c r="F524" s="108">
        <f>SUM(F521:F523)</f>
        <v>2589727.38</v>
      </c>
      <c r="G524" s="108">
        <f t="shared" ref="G524:L524" si="36">SUM(G521:G523)</f>
        <v>1310911.6100000001</v>
      </c>
      <c r="H524" s="108">
        <f t="shared" si="36"/>
        <v>924676.08999999985</v>
      </c>
      <c r="I524" s="108">
        <f t="shared" si="36"/>
        <v>27818.41</v>
      </c>
      <c r="J524" s="108">
        <f t="shared" si="36"/>
        <v>28508.68</v>
      </c>
      <c r="K524" s="108">
        <f t="shared" si="36"/>
        <v>0</v>
      </c>
      <c r="L524" s="89">
        <f t="shared" si="36"/>
        <v>4881642.17</v>
      </c>
      <c r="N524" s="216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6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130102.74+3712.49</f>
        <v>133815.23000000001</v>
      </c>
      <c r="G526" s="18">
        <f>60113.32+613.63</f>
        <v>60726.95</v>
      </c>
      <c r="H526" s="18">
        <f>11349.14+31538.25</f>
        <v>42887.39</v>
      </c>
      <c r="I526" s="18">
        <f>3918.08</f>
        <v>3918.08</v>
      </c>
      <c r="J526" s="18">
        <f>2148.73</f>
        <v>2148.73</v>
      </c>
      <c r="K526" s="18">
        <f>3600</f>
        <v>3600</v>
      </c>
      <c r="L526" s="88">
        <f>SUM(F526:K526)</f>
        <v>247096.38</v>
      </c>
      <c r="M526" s="8"/>
      <c r="N526" s="269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129627.99+1980</f>
        <v>131607.99</v>
      </c>
      <c r="G527" s="18">
        <f>60065.03+327.27</f>
        <v>60392.299999999996</v>
      </c>
      <c r="H527" s="18">
        <f>10049.85+16820.4</f>
        <v>26870.25</v>
      </c>
      <c r="I527" s="18">
        <f>2686.8</f>
        <v>2686.8</v>
      </c>
      <c r="J527" s="18">
        <f>1145.99</f>
        <v>1145.99</v>
      </c>
      <c r="K527" s="18">
        <f>1920</f>
        <v>1920</v>
      </c>
      <c r="L527" s="88">
        <f>SUM(F527:K527)</f>
        <v>224623.32999999996</v>
      </c>
      <c r="M527" s="8"/>
      <c r="N527" s="269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137794.07+2557.5</f>
        <v>140351.57</v>
      </c>
      <c r="G528" s="18">
        <f>64781.65+422.72</f>
        <v>65204.37</v>
      </c>
      <c r="H528" s="18">
        <f>12964.26+21726.35</f>
        <v>34690.61</v>
      </c>
      <c r="I528" s="18">
        <f>2592.61</f>
        <v>2592.61</v>
      </c>
      <c r="J528" s="18">
        <v>1480.23</v>
      </c>
      <c r="K528" s="18">
        <v>2480</v>
      </c>
      <c r="L528" s="88">
        <f>SUM(F528:K528)</f>
        <v>246799.38999999998</v>
      </c>
      <c r="M528" s="8"/>
      <c r="N528" s="269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7" t="s">
        <v>433</v>
      </c>
      <c r="E529" s="107"/>
      <c r="F529" s="89">
        <f>SUM(F526:F528)</f>
        <v>405774.79</v>
      </c>
      <c r="G529" s="89">
        <f t="shared" ref="G529:L529" si="37">SUM(G526:G528)</f>
        <v>186323.62</v>
      </c>
      <c r="H529" s="89">
        <f t="shared" si="37"/>
        <v>104448.25</v>
      </c>
      <c r="I529" s="89">
        <f t="shared" si="37"/>
        <v>9197.49</v>
      </c>
      <c r="J529" s="89">
        <f t="shared" si="37"/>
        <v>4774.9500000000007</v>
      </c>
      <c r="K529" s="89">
        <f t="shared" si="37"/>
        <v>8000</v>
      </c>
      <c r="L529" s="89">
        <f t="shared" si="37"/>
        <v>718519.1</v>
      </c>
      <c r="M529" s="8"/>
      <c r="N529" s="269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69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143706.54999999999</v>
      </c>
      <c r="G531" s="18">
        <v>47021.88</v>
      </c>
      <c r="H531" s="18">
        <v>12311.88</v>
      </c>
      <c r="I531" s="18">
        <v>2138.6</v>
      </c>
      <c r="J531" s="18">
        <v>379.8</v>
      </c>
      <c r="K531" s="18">
        <v>10855.11</v>
      </c>
      <c r="L531" s="88">
        <f>SUM(F531:K531)</f>
        <v>216413.82</v>
      </c>
      <c r="M531" s="8"/>
      <c r="N531" s="269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76643.5</v>
      </c>
      <c r="G532" s="18">
        <v>25078.34</v>
      </c>
      <c r="H532" s="18">
        <v>6566.33</v>
      </c>
      <c r="I532" s="18">
        <v>1140.5899999999999</v>
      </c>
      <c r="J532" s="18">
        <v>202.56</v>
      </c>
      <c r="K532" s="18">
        <v>5789.39</v>
      </c>
      <c r="L532" s="88">
        <f>SUM(F532:K532)</f>
        <v>115420.70999999999</v>
      </c>
      <c r="M532" s="8"/>
      <c r="N532" s="269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98997.85</v>
      </c>
      <c r="G533" s="18">
        <v>32392.85</v>
      </c>
      <c r="H533" s="18">
        <v>8481.51</v>
      </c>
      <c r="I533" s="18">
        <v>1473.26</v>
      </c>
      <c r="J533" s="18">
        <v>261.64</v>
      </c>
      <c r="K533" s="18">
        <v>7477.96</v>
      </c>
      <c r="L533" s="88">
        <f>SUM(F533:K533)</f>
        <v>149085.07000000004</v>
      </c>
      <c r="M533" s="8"/>
      <c r="N533" s="269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7" t="s">
        <v>433</v>
      </c>
      <c r="E534" s="107"/>
      <c r="F534" s="89">
        <f>SUM(F531:F533)</f>
        <v>319347.90000000002</v>
      </c>
      <c r="G534" s="89">
        <f t="shared" ref="G534:L534" si="38">SUM(G531:G533)</f>
        <v>104493.07</v>
      </c>
      <c r="H534" s="89">
        <f t="shared" si="38"/>
        <v>27359.72</v>
      </c>
      <c r="I534" s="89">
        <f t="shared" si="38"/>
        <v>4752.45</v>
      </c>
      <c r="J534" s="89">
        <f t="shared" si="38"/>
        <v>844</v>
      </c>
      <c r="K534" s="89">
        <f t="shared" si="38"/>
        <v>24122.46</v>
      </c>
      <c r="L534" s="89">
        <f t="shared" si="38"/>
        <v>480919.60000000009</v>
      </c>
      <c r="M534" s="8"/>
      <c r="N534" s="269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3" t="s">
        <v>289</v>
      </c>
      <c r="G535" s="193" t="s">
        <v>289</v>
      </c>
      <c r="H535" s="193" t="s">
        <v>289</v>
      </c>
      <c r="I535" s="193" t="s">
        <v>289</v>
      </c>
      <c r="J535" s="193" t="s">
        <v>289</v>
      </c>
      <c r="K535" s="193" t="s">
        <v>289</v>
      </c>
      <c r="L535" s="193" t="s">
        <v>289</v>
      </c>
      <c r="M535" s="8"/>
      <c r="N535" s="269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1074.72</v>
      </c>
      <c r="I536" s="18"/>
      <c r="J536" s="18"/>
      <c r="K536" s="18"/>
      <c r="L536" s="88">
        <f>SUM(F536:K536)</f>
        <v>1074.72</v>
      </c>
      <c r="M536" s="8"/>
      <c r="N536" s="269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573.17999999999995</v>
      </c>
      <c r="I537" s="18"/>
      <c r="J537" s="18"/>
      <c r="K537" s="18"/>
      <c r="L537" s="88">
        <f>SUM(F537:K537)</f>
        <v>573.17999999999995</v>
      </c>
      <c r="M537" s="8"/>
      <c r="N537" s="269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740.36</v>
      </c>
      <c r="I538" s="18"/>
      <c r="J538" s="18"/>
      <c r="K538" s="18"/>
      <c r="L538" s="88">
        <f>SUM(F538:K538)</f>
        <v>740.36</v>
      </c>
      <c r="M538" s="8"/>
      <c r="N538" s="269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7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2388.2600000000002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2388.2600000000002</v>
      </c>
      <c r="M539" s="8"/>
      <c r="N539" s="269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69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168797.59+671.5</f>
        <v>169469.09</v>
      </c>
      <c r="I541" s="18"/>
      <c r="J541" s="18"/>
      <c r="K541" s="18"/>
      <c r="L541" s="88">
        <f>SUM(F541:K541)</f>
        <v>169469.09</v>
      </c>
      <c r="M541" s="8"/>
      <c r="N541" s="269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208885.17+1230.05</f>
        <v>210115.22</v>
      </c>
      <c r="I542" s="18"/>
      <c r="J542" s="18"/>
      <c r="K542" s="18"/>
      <c r="L542" s="88">
        <f>SUM(F542:K542)</f>
        <v>210115.22</v>
      </c>
      <c r="M542" s="8"/>
      <c r="N542" s="269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101129.99+1964.35</f>
        <v>103094.34000000001</v>
      </c>
      <c r="I543" s="18"/>
      <c r="J543" s="18"/>
      <c r="K543" s="18"/>
      <c r="L543" s="88">
        <f>SUM(F543:K543)</f>
        <v>103094.34000000001</v>
      </c>
      <c r="M543" s="8"/>
      <c r="N543" s="269"/>
    </row>
    <row r="544" spans="1:14" s="3" customFormat="1" ht="1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433</v>
      </c>
      <c r="E544" s="190"/>
      <c r="F544" s="192">
        <f>SUM(F541:F543)</f>
        <v>0</v>
      </c>
      <c r="G544" s="192">
        <f t="shared" ref="G544:L544" si="40">SUM(G541:G543)</f>
        <v>0</v>
      </c>
      <c r="H544" s="192">
        <f t="shared" si="40"/>
        <v>482678.65</v>
      </c>
      <c r="I544" s="192">
        <f t="shared" si="40"/>
        <v>0</v>
      </c>
      <c r="J544" s="192">
        <f t="shared" si="40"/>
        <v>0</v>
      </c>
      <c r="K544" s="192">
        <f t="shared" si="40"/>
        <v>0</v>
      </c>
      <c r="L544" s="192">
        <f t="shared" si="40"/>
        <v>482678.65</v>
      </c>
      <c r="M544" s="8"/>
      <c r="N544" s="269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7" t="s">
        <v>433</v>
      </c>
      <c r="E545" s="107"/>
      <c r="F545" s="89">
        <f>F524+F529+F534+F539+F544</f>
        <v>3314850.07</v>
      </c>
      <c r="G545" s="89">
        <f t="shared" ref="G545:L545" si="41">G524+G529+G534+G539+G544</f>
        <v>1601728.3</v>
      </c>
      <c r="H545" s="89">
        <f t="shared" si="41"/>
        <v>1541550.9699999997</v>
      </c>
      <c r="I545" s="89">
        <f t="shared" si="41"/>
        <v>41768.35</v>
      </c>
      <c r="J545" s="89">
        <f t="shared" si="41"/>
        <v>34127.630000000005</v>
      </c>
      <c r="K545" s="89">
        <f t="shared" si="41"/>
        <v>32122.46</v>
      </c>
      <c r="L545" s="89">
        <f t="shared" si="41"/>
        <v>6566147.7799999993</v>
      </c>
      <c r="M545" s="8"/>
      <c r="N545" s="269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69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69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69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2048045.4300000002</v>
      </c>
      <c r="G549" s="87">
        <f>L526</f>
        <v>247096.38</v>
      </c>
      <c r="H549" s="87">
        <f>L531</f>
        <v>216413.82</v>
      </c>
      <c r="I549" s="87">
        <f>L536</f>
        <v>1074.72</v>
      </c>
      <c r="J549" s="87">
        <f>L541</f>
        <v>169469.09</v>
      </c>
      <c r="K549" s="87">
        <f>SUM(F549:J549)</f>
        <v>2682099.44</v>
      </c>
      <c r="L549" s="24" t="s">
        <v>289</v>
      </c>
      <c r="M549" s="8"/>
      <c r="N549" s="269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1431675.6199999999</v>
      </c>
      <c r="G550" s="87">
        <f>L527</f>
        <v>224623.32999999996</v>
      </c>
      <c r="H550" s="87">
        <f>L532</f>
        <v>115420.70999999999</v>
      </c>
      <c r="I550" s="87">
        <f>L537</f>
        <v>573.17999999999995</v>
      </c>
      <c r="J550" s="87">
        <f>L542</f>
        <v>210115.22</v>
      </c>
      <c r="K550" s="87">
        <f>SUM(F550:J550)</f>
        <v>1982408.0599999996</v>
      </c>
      <c r="L550" s="24" t="s">
        <v>289</v>
      </c>
      <c r="M550" s="8"/>
      <c r="N550" s="269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1401921.1199999996</v>
      </c>
      <c r="G551" s="87">
        <f>L528</f>
        <v>246799.38999999998</v>
      </c>
      <c r="H551" s="87">
        <f>L533</f>
        <v>149085.07000000004</v>
      </c>
      <c r="I551" s="87">
        <f>L538</f>
        <v>740.36</v>
      </c>
      <c r="J551" s="87">
        <f>L543</f>
        <v>103094.34000000001</v>
      </c>
      <c r="K551" s="87">
        <f>SUM(F551:J551)</f>
        <v>1901640.2799999998</v>
      </c>
      <c r="L551" s="24" t="s">
        <v>289</v>
      </c>
      <c r="M551" s="8"/>
      <c r="N551" s="269"/>
    </row>
    <row r="552" spans="1:14" s="3" customFormat="1" ht="12" customHeight="1" thickTop="1" x14ac:dyDescent="0.15">
      <c r="A552" s="171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4881642.17</v>
      </c>
      <c r="G552" s="89">
        <f t="shared" si="42"/>
        <v>718519.1</v>
      </c>
      <c r="H552" s="89">
        <f t="shared" si="42"/>
        <v>480919.60000000009</v>
      </c>
      <c r="I552" s="89">
        <f t="shared" si="42"/>
        <v>2388.2600000000002</v>
      </c>
      <c r="J552" s="89">
        <f t="shared" si="42"/>
        <v>482678.65</v>
      </c>
      <c r="K552" s="89">
        <f t="shared" si="42"/>
        <v>6566147.7799999993</v>
      </c>
      <c r="L552" s="24"/>
      <c r="M552" s="8"/>
      <c r="N552" s="269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69"/>
    </row>
    <row r="554" spans="1:14" s="3" customFormat="1" ht="12" customHeight="1" x14ac:dyDescent="0.15">
      <c r="B554" s="105"/>
      <c r="C554" s="115"/>
      <c r="D554" s="115"/>
      <c r="E554" s="115"/>
      <c r="F554" s="176" t="s">
        <v>693</v>
      </c>
      <c r="G554" s="176" t="s">
        <v>694</v>
      </c>
      <c r="H554" s="176" t="s">
        <v>695</v>
      </c>
      <c r="I554" s="176" t="s">
        <v>696</v>
      </c>
      <c r="J554" s="176" t="s">
        <v>697</v>
      </c>
      <c r="K554" s="176" t="s">
        <v>698</v>
      </c>
      <c r="L554" s="106"/>
      <c r="M554" s="8"/>
      <c r="N554" s="269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69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69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69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69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69"/>
    </row>
    <row r="560" spans="1:14" s="3" customFormat="1" ht="12" customHeight="1" thickTop="1" x14ac:dyDescent="0.15">
      <c r="A560" s="139" t="s">
        <v>63</v>
      </c>
      <c r="B560" s="107">
        <v>22</v>
      </c>
      <c r="C560" s="194">
        <v>4</v>
      </c>
      <c r="D560" s="195" t="s">
        <v>433</v>
      </c>
      <c r="E560" s="194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69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69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4212.6000000000004</v>
      </c>
      <c r="G562" s="18">
        <v>2502</v>
      </c>
      <c r="H562" s="18"/>
      <c r="I562" s="18"/>
      <c r="J562" s="18"/>
      <c r="K562" s="18"/>
      <c r="L562" s="88">
        <f>SUM(F562:K562)</f>
        <v>6714.6</v>
      </c>
      <c r="M562" s="8"/>
      <c r="N562" s="269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2246.7199999999998</v>
      </c>
      <c r="G563" s="18">
        <v>1334.4</v>
      </c>
      <c r="H563" s="18"/>
      <c r="I563" s="18"/>
      <c r="J563" s="18"/>
      <c r="K563" s="18"/>
      <c r="L563" s="88">
        <f>SUM(F563:K563)</f>
        <v>3581.12</v>
      </c>
      <c r="M563" s="8"/>
      <c r="N563" s="269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2902.01</v>
      </c>
      <c r="G564" s="18">
        <v>1723.6</v>
      </c>
      <c r="H564" s="18"/>
      <c r="I564" s="18"/>
      <c r="J564" s="18"/>
      <c r="K564" s="18"/>
      <c r="L564" s="88">
        <f>SUM(F564:K564)</f>
        <v>4625.6100000000006</v>
      </c>
      <c r="M564" s="8"/>
      <c r="N564" s="269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5" t="s">
        <v>433</v>
      </c>
      <c r="E565" s="107"/>
      <c r="F565" s="89">
        <f t="shared" ref="F565:L565" si="44">SUM(F562:F564)</f>
        <v>9361.33</v>
      </c>
      <c r="G565" s="89">
        <f t="shared" si="44"/>
        <v>5560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14921.330000000002</v>
      </c>
      <c r="M565" s="8"/>
      <c r="N565" s="269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69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27111.82</v>
      </c>
      <c r="G567" s="18">
        <v>10767.87</v>
      </c>
      <c r="H567" s="18">
        <v>654.03</v>
      </c>
      <c r="I567" s="18">
        <v>3652.04</v>
      </c>
      <c r="J567" s="18"/>
      <c r="K567" s="18">
        <v>287.10000000000002</v>
      </c>
      <c r="L567" s="88">
        <f>SUM(F567:K567)</f>
        <v>42472.86</v>
      </c>
      <c r="M567" s="8"/>
      <c r="N567" s="269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14459.64</v>
      </c>
      <c r="G568" s="18">
        <v>5742.86</v>
      </c>
      <c r="H568" s="18">
        <v>348.82</v>
      </c>
      <c r="I568" s="18">
        <v>1947.75</v>
      </c>
      <c r="J568" s="18"/>
      <c r="K568" s="18">
        <v>153.12</v>
      </c>
      <c r="L568" s="88">
        <f>SUM(F568:K568)</f>
        <v>22652.19</v>
      </c>
      <c r="M568" s="8"/>
      <c r="N568" s="269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18677.04</v>
      </c>
      <c r="G569" s="18">
        <v>7417.87</v>
      </c>
      <c r="H569" s="18">
        <v>450.55</v>
      </c>
      <c r="I569" s="18">
        <v>2515.85</v>
      </c>
      <c r="J569" s="18"/>
      <c r="K569" s="18">
        <v>197.78</v>
      </c>
      <c r="L569" s="88">
        <f>SUM(F569:K569)</f>
        <v>29259.089999999997</v>
      </c>
      <c r="M569" s="8"/>
      <c r="N569" s="269"/>
    </row>
    <row r="570" spans="1:14" s="3" customFormat="1" ht="1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433</v>
      </c>
      <c r="E570" s="190"/>
      <c r="F570" s="192">
        <f>SUM(F567:F569)</f>
        <v>60248.5</v>
      </c>
      <c r="G570" s="192">
        <f t="shared" ref="G570:L570" si="45">SUM(G567:G569)</f>
        <v>23928.6</v>
      </c>
      <c r="H570" s="192">
        <f t="shared" si="45"/>
        <v>1453.3999999999999</v>
      </c>
      <c r="I570" s="192">
        <f t="shared" si="45"/>
        <v>8115.6399999999994</v>
      </c>
      <c r="J570" s="192">
        <f t="shared" si="45"/>
        <v>0</v>
      </c>
      <c r="K570" s="192">
        <f t="shared" si="45"/>
        <v>638</v>
      </c>
      <c r="L570" s="192">
        <f t="shared" si="45"/>
        <v>94384.14</v>
      </c>
      <c r="M570" s="8"/>
      <c r="N570" s="269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7" t="s">
        <v>433</v>
      </c>
      <c r="E571" s="107"/>
      <c r="F571" s="89">
        <f>F560+F565+F570</f>
        <v>69609.83</v>
      </c>
      <c r="G571" s="89">
        <f t="shared" ref="G571:L571" si="46">G560+G565+G570</f>
        <v>29488.6</v>
      </c>
      <c r="H571" s="89">
        <f t="shared" si="46"/>
        <v>1453.3999999999999</v>
      </c>
      <c r="I571" s="89">
        <f t="shared" si="46"/>
        <v>8115.6399999999994</v>
      </c>
      <c r="J571" s="89">
        <f t="shared" si="46"/>
        <v>0</v>
      </c>
      <c r="K571" s="89">
        <f t="shared" si="46"/>
        <v>638</v>
      </c>
      <c r="L571" s="89">
        <f t="shared" si="46"/>
        <v>109305.47</v>
      </c>
      <c r="M571" s="8"/>
      <c r="N571" s="269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69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69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69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69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69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69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4275</v>
      </c>
      <c r="I578" s="87">
        <f t="shared" si="47"/>
        <v>4275</v>
      </c>
      <c r="J578" s="24" t="s">
        <v>289</v>
      </c>
      <c r="K578" s="24" t="s">
        <v>289</v>
      </c>
      <c r="L578" s="24" t="s">
        <v>289</v>
      </c>
      <c r="M578" s="8"/>
      <c r="N578" s="269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1956.6</v>
      </c>
      <c r="G579" s="18"/>
      <c r="H579" s="18"/>
      <c r="I579" s="87">
        <f t="shared" si="47"/>
        <v>1956.6</v>
      </c>
      <c r="J579" s="24" t="s">
        <v>289</v>
      </c>
      <c r="K579" s="24" t="s">
        <v>289</v>
      </c>
      <c r="L579" s="24" t="s">
        <v>289</v>
      </c>
      <c r="M579" s="8"/>
      <c r="N579" s="269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30847.200000000001</v>
      </c>
      <c r="G580" s="18">
        <v>61436.79</v>
      </c>
      <c r="H580" s="18">
        <v>76737.14</v>
      </c>
      <c r="I580" s="87">
        <f t="shared" si="47"/>
        <v>169021.13</v>
      </c>
      <c r="J580" s="24" t="s">
        <v>289</v>
      </c>
      <c r="K580" s="24" t="s">
        <v>289</v>
      </c>
      <c r="L580" s="24" t="s">
        <v>289</v>
      </c>
      <c r="M580" s="8"/>
      <c r="N580" s="269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69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130964.41</v>
      </c>
      <c r="G582" s="18">
        <v>248253.31</v>
      </c>
      <c r="H582" s="18">
        <v>16441.150000000001</v>
      </c>
      <c r="I582" s="87">
        <f t="shared" si="47"/>
        <v>395658.87</v>
      </c>
      <c r="J582" s="24" t="s">
        <v>289</v>
      </c>
      <c r="K582" s="24" t="s">
        <v>289</v>
      </c>
      <c r="L582" s="24" t="s">
        <v>289</v>
      </c>
      <c r="M582" s="8"/>
      <c r="N582" s="269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208349.43</v>
      </c>
      <c r="G583" s="18"/>
      <c r="H583" s="18">
        <v>70812.84</v>
      </c>
      <c r="I583" s="87">
        <f t="shared" si="47"/>
        <v>279162.27</v>
      </c>
      <c r="J583" s="24" t="s">
        <v>289</v>
      </c>
      <c r="K583" s="24" t="s">
        <v>289</v>
      </c>
      <c r="L583" s="24" t="s">
        <v>289</v>
      </c>
      <c r="M583" s="8"/>
      <c r="N583" s="269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16888.54</v>
      </c>
      <c r="I584" s="87">
        <f t="shared" si="47"/>
        <v>16888.54</v>
      </c>
      <c r="J584" s="24" t="s">
        <v>289</v>
      </c>
      <c r="K584" s="24" t="s">
        <v>289</v>
      </c>
      <c r="L584" s="24" t="s">
        <v>289</v>
      </c>
      <c r="M584" s="8"/>
      <c r="N584" s="269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69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69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69"/>
    </row>
    <row r="588" spans="1:14" s="3" customFormat="1" ht="12" customHeight="1" x14ac:dyDescent="0.15">
      <c r="A588" s="172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69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69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69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341257.3</v>
      </c>
      <c r="I591" s="18">
        <v>182003.9</v>
      </c>
      <c r="J591" s="18">
        <v>235088.36</v>
      </c>
      <c r="K591" s="104">
        <f t="shared" ref="K591:K597" si="48">SUM(H591:J591)</f>
        <v>758349.55999999994</v>
      </c>
      <c r="L591" s="24" t="s">
        <v>289</v>
      </c>
      <c r="M591" s="8"/>
      <c r="N591" s="269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168797.59+671.5</f>
        <v>169469.09</v>
      </c>
      <c r="I592" s="18">
        <f>208885.17+1230.05</f>
        <v>210115.22</v>
      </c>
      <c r="J592" s="18">
        <f>101129.99+1964.35</f>
        <v>103094.34000000001</v>
      </c>
      <c r="K592" s="104">
        <f t="shared" si="48"/>
        <v>482678.65</v>
      </c>
      <c r="L592" s="24" t="s">
        <v>289</v>
      </c>
      <c r="M592" s="8"/>
      <c r="N592" s="269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137280</v>
      </c>
      <c r="K593" s="104">
        <f t="shared" si="48"/>
        <v>137280</v>
      </c>
      <c r="L593" s="24" t="s">
        <v>289</v>
      </c>
      <c r="M593" s="8"/>
      <c r="N593" s="269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f>5200</f>
        <v>5200</v>
      </c>
      <c r="J594" s="18">
        <f>34167.5</f>
        <v>34167.5</v>
      </c>
      <c r="K594" s="104">
        <f t="shared" si="48"/>
        <v>39367.5</v>
      </c>
      <c r="L594" s="24" t="s">
        <v>289</v>
      </c>
      <c r="M594" s="8"/>
      <c r="N594" s="269"/>
    </row>
    <row r="595" spans="1:14" s="3" customFormat="1" ht="12" customHeight="1" x14ac:dyDescent="0.15">
      <c r="A595" s="170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5150+4490</f>
        <v>9640</v>
      </c>
      <c r="I595" s="18">
        <f>7350</f>
        <v>7350</v>
      </c>
      <c r="J595" s="18">
        <f>6765</f>
        <v>6765</v>
      </c>
      <c r="K595" s="104">
        <f t="shared" si="48"/>
        <v>23755</v>
      </c>
      <c r="L595" s="24" t="s">
        <v>289</v>
      </c>
      <c r="M595" s="8"/>
      <c r="N595" s="269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69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69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520366.39</v>
      </c>
      <c r="I598" s="108">
        <f>SUM(I591:I597)</f>
        <v>404669.12</v>
      </c>
      <c r="J598" s="108">
        <f>SUM(J591:J597)</f>
        <v>516395.2</v>
      </c>
      <c r="K598" s="108">
        <f>SUM(K591:K597)</f>
        <v>1441430.71</v>
      </c>
      <c r="L598" s="24" t="s">
        <v>289</v>
      </c>
      <c r="M598" s="8"/>
      <c r="N598" s="269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69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69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69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69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69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236514.59</v>
      </c>
      <c r="I604" s="18">
        <v>109911.4</v>
      </c>
      <c r="J604" s="18">
        <v>152755.82</v>
      </c>
      <c r="K604" s="104">
        <f>SUM(H604:J604)</f>
        <v>499181.81</v>
      </c>
      <c r="L604" s="24" t="s">
        <v>289</v>
      </c>
      <c r="M604" s="8"/>
      <c r="N604" s="269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236514.59</v>
      </c>
      <c r="I605" s="108">
        <f>SUM(I602:I604)</f>
        <v>109911.4</v>
      </c>
      <c r="J605" s="108">
        <f>SUM(J602:J604)</f>
        <v>152755.82</v>
      </c>
      <c r="K605" s="108">
        <f>SUM(K602:K604)</f>
        <v>499181.81</v>
      </c>
      <c r="L605" s="24" t="s">
        <v>289</v>
      </c>
      <c r="M605" s="8"/>
      <c r="N605" s="269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69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69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69"/>
    </row>
    <row r="609" spans="1:14" s="3" customFormat="1" ht="12" customHeight="1" x14ac:dyDescent="0.15">
      <c r="B609" s="105"/>
      <c r="C609" s="105"/>
      <c r="D609" s="105"/>
      <c r="E609" s="105"/>
      <c r="F609" s="176" t="s">
        <v>693</v>
      </c>
      <c r="G609" s="176" t="s">
        <v>694</v>
      </c>
      <c r="H609" s="176" t="s">
        <v>695</v>
      </c>
      <c r="I609" s="176" t="s">
        <v>696</v>
      </c>
      <c r="J609" s="176" t="s">
        <v>697</v>
      </c>
      <c r="K609" s="176" t="s">
        <v>698</v>
      </c>
      <c r="L609" s="88"/>
      <c r="M609" s="8"/>
      <c r="N609" s="269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69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51695.55</v>
      </c>
      <c r="G611" s="18">
        <v>10582.5</v>
      </c>
      <c r="H611" s="18">
        <v>1934.97</v>
      </c>
      <c r="I611" s="18">
        <v>487.49</v>
      </c>
      <c r="J611" s="18"/>
      <c r="K611" s="18"/>
      <c r="L611" s="88">
        <f>SUM(F611:K611)</f>
        <v>64700.51</v>
      </c>
      <c r="M611" s="8"/>
      <c r="N611" s="269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27256</v>
      </c>
      <c r="G612" s="18">
        <v>5316.97</v>
      </c>
      <c r="H612" s="18"/>
      <c r="I612" s="18">
        <v>106.06</v>
      </c>
      <c r="J612" s="18"/>
      <c r="K612" s="18"/>
      <c r="L612" s="88">
        <f>SUM(F612:K612)</f>
        <v>32679.030000000002</v>
      </c>
      <c r="M612" s="8"/>
      <c r="N612" s="269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4369.5</v>
      </c>
      <c r="G613" s="18">
        <v>591.91</v>
      </c>
      <c r="H613" s="18"/>
      <c r="I613" s="18"/>
      <c r="J613" s="18"/>
      <c r="K613" s="18"/>
      <c r="L613" s="88">
        <f>SUM(F613:K613)</f>
        <v>4961.41</v>
      </c>
      <c r="M613" s="8"/>
      <c r="N613" s="269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83321.05</v>
      </c>
      <c r="G614" s="108">
        <f t="shared" si="49"/>
        <v>16491.38</v>
      </c>
      <c r="H614" s="108">
        <f t="shared" si="49"/>
        <v>1934.97</v>
      </c>
      <c r="I614" s="108">
        <f t="shared" si="49"/>
        <v>593.54999999999995</v>
      </c>
      <c r="J614" s="108">
        <f t="shared" si="49"/>
        <v>0</v>
      </c>
      <c r="K614" s="108">
        <f t="shared" si="49"/>
        <v>0</v>
      </c>
      <c r="L614" s="89">
        <f t="shared" si="49"/>
        <v>102340.95000000001</v>
      </c>
      <c r="M614" s="8"/>
      <c r="N614" s="269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1087634.7</v>
      </c>
      <c r="H617" s="109">
        <f>SUM(F52)</f>
        <v>1087634.7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60803.869999999995</v>
      </c>
      <c r="H618" s="109">
        <f>SUM(G52)</f>
        <v>60803.87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138903.84</v>
      </c>
      <c r="H619" s="109">
        <f>SUM(H52)</f>
        <v>138903.84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2499126.5099999998</v>
      </c>
      <c r="H621" s="109">
        <f>SUM(J52)</f>
        <v>2499126.5099999998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914320.87</v>
      </c>
      <c r="H622" s="109">
        <f>F476</f>
        <v>914320.87000000104</v>
      </c>
      <c r="I622" s="121" t="s">
        <v>101</v>
      </c>
      <c r="J622" s="109">
        <f t="shared" ref="J622:J655" si="50">G622-H622</f>
        <v>-1.0477378964424133E-9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14143.04</v>
      </c>
      <c r="H623" s="109">
        <f>G476</f>
        <v>14143.039999999921</v>
      </c>
      <c r="I623" s="121" t="s">
        <v>102</v>
      </c>
      <c r="J623" s="109">
        <f t="shared" si="50"/>
        <v>8.0035533756017685E-11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1665</v>
      </c>
      <c r="H624" s="109">
        <f>H476</f>
        <v>1665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2472126.5099999998</v>
      </c>
      <c r="H626" s="109">
        <f>J476</f>
        <v>2472126.5099999998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23185541.490000002</v>
      </c>
      <c r="H627" s="104">
        <f>SUM(F468)</f>
        <v>23185541.489999998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614333.60000000009</v>
      </c>
      <c r="H628" s="104">
        <f>SUM(G468)</f>
        <v>614333.6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1069990.3599999999</v>
      </c>
      <c r="H629" s="104">
        <f>SUM(H468)</f>
        <v>1069990.3600000001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445582.98</v>
      </c>
      <c r="H631" s="104">
        <f>SUM(J468)</f>
        <v>445582.98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23462568.969999999</v>
      </c>
      <c r="H632" s="104">
        <f>SUM(F472)</f>
        <v>23462568.969999999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1068325.3600000001</v>
      </c>
      <c r="H633" s="104">
        <f>SUM(H472)</f>
        <v>1068325.3600000001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16990.510000000002</v>
      </c>
      <c r="H634" s="104">
        <f>I369</f>
        <v>16990.510000000002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8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617339.74999999988</v>
      </c>
      <c r="H635" s="104">
        <f>SUM(G472)</f>
        <v>617339.75</v>
      </c>
      <c r="I635" s="140" t="s">
        <v>114</v>
      </c>
      <c r="J635" s="109">
        <f t="shared" si="50"/>
        <v>0</v>
      </c>
      <c r="K635" s="85"/>
      <c r="L635" s="88"/>
      <c r="M635" s="167"/>
    </row>
    <row r="636" spans="1:13" s="168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7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478</v>
      </c>
      <c r="G637" s="151">
        <f>SUM(L408)</f>
        <v>445582.97999999992</v>
      </c>
      <c r="H637" s="163">
        <f>SUM(J468)</f>
        <v>445582.98</v>
      </c>
      <c r="I637" s="164" t="s">
        <v>110</v>
      </c>
      <c r="J637" s="151">
        <f t="shared" si="50"/>
        <v>0</v>
      </c>
      <c r="K637" s="165"/>
      <c r="L637" s="166"/>
      <c r="M637" s="8"/>
    </row>
    <row r="638" spans="1:13" s="3" customFormat="1" ht="12" customHeight="1" x14ac:dyDescent="0.15">
      <c r="A638" s="160"/>
      <c r="B638" s="161"/>
      <c r="C638" s="161"/>
      <c r="D638" s="161"/>
      <c r="E638" s="161"/>
      <c r="F638" s="162" t="s">
        <v>479</v>
      </c>
      <c r="G638" s="151">
        <f>SUM(L434)</f>
        <v>317659.73000000004</v>
      </c>
      <c r="H638" s="163">
        <f>SUM(J472)</f>
        <v>317659.73</v>
      </c>
      <c r="I638" s="164" t="s">
        <v>117</v>
      </c>
      <c r="J638" s="151">
        <f t="shared" si="50"/>
        <v>0</v>
      </c>
      <c r="K638" s="165"/>
      <c r="L638" s="166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573334.5</v>
      </c>
      <c r="H639" s="104">
        <f>SUM(F461)</f>
        <v>573334.5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1108118.3999999999</v>
      </c>
      <c r="H640" s="104">
        <f>SUM(G461)</f>
        <v>1108118.3999999999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817673.61</v>
      </c>
      <c r="H641" s="104">
        <f>SUM(H461)</f>
        <v>817673.61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2499126.5099999998</v>
      </c>
      <c r="H642" s="104">
        <f>SUM(I461)</f>
        <v>2499126.5099999998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63370.98</v>
      </c>
      <c r="H644" s="104">
        <f>H408</f>
        <v>63370.979999999996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382212</v>
      </c>
      <c r="H645" s="104">
        <f>G408</f>
        <v>382212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445582.98</v>
      </c>
      <c r="H646" s="104">
        <f>L408</f>
        <v>445582.97999999992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1441430.71</v>
      </c>
      <c r="H647" s="104">
        <f>L208+L226+L244</f>
        <v>1441430.71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499181.81</v>
      </c>
      <c r="H648" s="104">
        <f>(J257+J338)-(J255+J336)</f>
        <v>499181.81000000006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520366.39</v>
      </c>
      <c r="H649" s="104">
        <f>H598</f>
        <v>520366.39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404669.12</v>
      </c>
      <c r="H650" s="104">
        <f>I598</f>
        <v>404669.12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516395.19999999995</v>
      </c>
      <c r="H651" s="104">
        <f>J598</f>
        <v>516395.2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17750</v>
      </c>
      <c r="H652" s="104">
        <f>K263+K345</f>
        <v>17750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382212</v>
      </c>
      <c r="H655" s="104">
        <f>K266+K347</f>
        <v>382212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10562181.76</v>
      </c>
      <c r="G660" s="19">
        <f>(L229+L309+L359)</f>
        <v>5881972.5299999993</v>
      </c>
      <c r="H660" s="19">
        <f>(L247+L328+L360)</f>
        <v>7320528.1099999994</v>
      </c>
      <c r="I660" s="19">
        <f>SUM(F660:H660)</f>
        <v>23764682.399999999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143762.43983838803</v>
      </c>
      <c r="G661" s="19">
        <f>(L359/IF(SUM(L358:L360)=0,1,SUM(L358:L360))*(SUM(G97:G110)))</f>
        <v>72190.341061644751</v>
      </c>
      <c r="H661" s="19">
        <f>(L360/IF(SUM(L358:L360)=0,1,SUM(L358:L360))*(SUM(G97:G110)))</f>
        <v>93245.869099967254</v>
      </c>
      <c r="I661" s="19">
        <f>SUM(F661:H661)</f>
        <v>309198.65000000002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520580.89</v>
      </c>
      <c r="G662" s="19">
        <f>(L226+L306)-(J226+J306)</f>
        <v>404784.62</v>
      </c>
      <c r="H662" s="19">
        <f>(L244+L325)-(J244+J325)</f>
        <v>516395.19999999995</v>
      </c>
      <c r="I662" s="19">
        <f>SUM(F662:H662)</f>
        <v>1441760.71</v>
      </c>
      <c r="J662"/>
      <c r="K662" s="13"/>
      <c r="L662" s="13"/>
      <c r="M662" s="8"/>
    </row>
    <row r="663" spans="1:13" s="3" customFormat="1" ht="12" customHeight="1" x14ac:dyDescent="0.15">
      <c r="A663" s="197" t="s">
        <v>129</v>
      </c>
      <c r="B663" s="168"/>
      <c r="C663" s="168"/>
      <c r="D663" s="168"/>
      <c r="E663" s="168"/>
      <c r="F663" s="198">
        <f>SUM(F575:F587)+SUM(H602:H604)+SUM(L611)</f>
        <v>673332.74</v>
      </c>
      <c r="G663" s="198">
        <f>SUM(G575:G587)+SUM(I602:I604)+L612</f>
        <v>452280.53</v>
      </c>
      <c r="H663" s="198">
        <f>SUM(H575:H587)+SUM(J602:J604)+L613</f>
        <v>342871.89999999997</v>
      </c>
      <c r="I663" s="19">
        <f>SUM(F663:H663)</f>
        <v>1468485.17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9224505.6901616119</v>
      </c>
      <c r="G664" s="19">
        <f>G660-SUM(G661:G663)</f>
        <v>4952717.0389383547</v>
      </c>
      <c r="H664" s="19">
        <f>H660-SUM(H661:H663)</f>
        <v>6368015.1409000326</v>
      </c>
      <c r="I664" s="19">
        <f>I660-SUM(I661:I663)</f>
        <v>20545237.869999997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6">
        <v>695.25</v>
      </c>
      <c r="G665" s="247">
        <v>353.51</v>
      </c>
      <c r="H665" s="247">
        <v>434.62</v>
      </c>
      <c r="I665" s="19">
        <f>SUM(F665:H665)</f>
        <v>1483.38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13267.9</v>
      </c>
      <c r="G667" s="19">
        <f>ROUND(G664/G665,2)</f>
        <v>14010.12</v>
      </c>
      <c r="H667" s="19">
        <f>ROUND(H664/H665,2)</f>
        <v>14651.91</v>
      </c>
      <c r="I667" s="19">
        <f>ROUND(I664/I665,2)</f>
        <v>13850.29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0</v>
      </c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13267.9</v>
      </c>
      <c r="G672" s="19">
        <f>ROUND((G664+G669)/(G665+G670),2)</f>
        <v>14010.12</v>
      </c>
      <c r="H672" s="19">
        <f>ROUND((H664+H669)/(H665+H670),2)</f>
        <v>14651.91</v>
      </c>
      <c r="I672" s="19">
        <f>ROUND((I664+I669)/(I665+I670),2)</f>
        <v>13850.29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J11" sqref="J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Jaffrey-Rindge Cooperative School District (SAU47)</v>
      </c>
      <c r="C1" s="237" t="s">
        <v>839</v>
      </c>
    </row>
    <row r="2" spans="1:3" x14ac:dyDescent="0.2">
      <c r="A2" s="232"/>
      <c r="B2" s="231"/>
    </row>
    <row r="3" spans="1:3" x14ac:dyDescent="0.2">
      <c r="A3" s="275" t="s">
        <v>784</v>
      </c>
      <c r="B3" s="275"/>
      <c r="C3" s="275"/>
    </row>
    <row r="4" spans="1:3" x14ac:dyDescent="0.2">
      <c r="A4" s="235"/>
      <c r="B4" s="236" t="str">
        <f>'DOE25'!H1</f>
        <v>DOE 25  2013-2014</v>
      </c>
      <c r="C4" s="235"/>
    </row>
    <row r="5" spans="1:3" x14ac:dyDescent="0.2">
      <c r="A5" s="232"/>
      <c r="B5" s="231"/>
    </row>
    <row r="6" spans="1:3" x14ac:dyDescent="0.2">
      <c r="A6" s="226"/>
      <c r="B6" s="274" t="s">
        <v>783</v>
      </c>
      <c r="C6" s="274"/>
    </row>
    <row r="7" spans="1:3" x14ac:dyDescent="0.2">
      <c r="A7" s="238" t="s">
        <v>786</v>
      </c>
      <c r="B7" s="272" t="s">
        <v>782</v>
      </c>
      <c r="C7" s="273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'DOE25'!F197+'DOE25'!F215+'DOE25'!F233+'DOE25'!F276+'DOE25'!F295+'DOE25'!F314</f>
        <v>5270595.68</v>
      </c>
      <c r="C9" s="228">
        <f>'DOE25'!G197+'DOE25'!G215+'DOE25'!G233+'DOE25'!G276+'DOE25'!G295+'DOE25'!G314</f>
        <v>2435703.04</v>
      </c>
    </row>
    <row r="10" spans="1:3" x14ac:dyDescent="0.2">
      <c r="A10" t="s">
        <v>779</v>
      </c>
      <c r="B10" s="239">
        <f>5134055.5+3959.49</f>
        <v>5138014.99</v>
      </c>
      <c r="C10" s="239">
        <v>2425560.62</v>
      </c>
    </row>
    <row r="11" spans="1:3" x14ac:dyDescent="0.2">
      <c r="A11" t="s">
        <v>780</v>
      </c>
      <c r="B11" s="239"/>
      <c r="C11" s="239"/>
    </row>
    <row r="12" spans="1:3" x14ac:dyDescent="0.2">
      <c r="A12" t="s">
        <v>781</v>
      </c>
      <c r="B12" s="239">
        <v>132580.69</v>
      </c>
      <c r="C12" s="239">
        <v>10142.42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5270595.6800000006</v>
      </c>
      <c r="C13" s="230">
        <f>SUM(C10:C12)</f>
        <v>2435703.04</v>
      </c>
    </row>
    <row r="14" spans="1:3" x14ac:dyDescent="0.2">
      <c r="B14" s="229"/>
      <c r="C14" s="229"/>
    </row>
    <row r="15" spans="1:3" x14ac:dyDescent="0.2">
      <c r="B15" s="274" t="s">
        <v>783</v>
      </c>
      <c r="C15" s="274"/>
    </row>
    <row r="16" spans="1:3" x14ac:dyDescent="0.2">
      <c r="A16" s="238" t="s">
        <v>787</v>
      </c>
      <c r="B16" s="272" t="s">
        <v>707</v>
      </c>
      <c r="C16" s="273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'DOE25'!F198+'DOE25'!F216+'DOE25'!F234+'DOE25'!F277+'DOE25'!F296+'DOE25'!F315</f>
        <v>2872018.2800000003</v>
      </c>
      <c r="C18" s="228">
        <f>'DOE25'!G198+'DOE25'!G216+'DOE25'!G234+'DOE25'!G277+'DOE25'!G296+'DOE25'!G315</f>
        <v>1403320.84</v>
      </c>
    </row>
    <row r="19" spans="1:3" x14ac:dyDescent="0.2">
      <c r="A19" t="s">
        <v>779</v>
      </c>
      <c r="B19" s="239">
        <v>1625948.7</v>
      </c>
      <c r="C19" s="239">
        <v>792486.97</v>
      </c>
    </row>
    <row r="20" spans="1:3" x14ac:dyDescent="0.2">
      <c r="A20" t="s">
        <v>780</v>
      </c>
      <c r="B20" s="239">
        <v>805101.56</v>
      </c>
      <c r="C20" s="239">
        <v>481233.26</v>
      </c>
    </row>
    <row r="21" spans="1:3" x14ac:dyDescent="0.2">
      <c r="A21" t="s">
        <v>781</v>
      </c>
      <c r="B21" s="239">
        <v>440968.02</v>
      </c>
      <c r="C21" s="239">
        <v>129600.61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2872018.28</v>
      </c>
      <c r="C22" s="230">
        <f>SUM(C19:C21)</f>
        <v>1403320.84</v>
      </c>
    </row>
    <row r="23" spans="1:3" x14ac:dyDescent="0.2">
      <c r="B23" s="229"/>
      <c r="C23" s="229"/>
    </row>
    <row r="24" spans="1:3" x14ac:dyDescent="0.2">
      <c r="B24" s="274" t="s">
        <v>783</v>
      </c>
      <c r="C24" s="274"/>
    </row>
    <row r="25" spans="1:3" x14ac:dyDescent="0.2">
      <c r="A25" s="238" t="s">
        <v>788</v>
      </c>
      <c r="B25" s="272" t="s">
        <v>708</v>
      </c>
      <c r="C25" s="273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'DOE25'!F199+'DOE25'!F217+'DOE25'!F235+'DOE25'!F278+'DOE25'!F297+'DOE25'!F316</f>
        <v>264903.32</v>
      </c>
      <c r="C27" s="233">
        <f>'DOE25'!G199+'DOE25'!G217+'DOE25'!G235+'DOE25'!G278+'DOE25'!G297+'DOE25'!G316</f>
        <v>101711.64</v>
      </c>
    </row>
    <row r="28" spans="1:3" x14ac:dyDescent="0.2">
      <c r="A28" t="s">
        <v>779</v>
      </c>
      <c r="B28" s="239">
        <v>250425.53</v>
      </c>
      <c r="C28" s="239">
        <v>100604.09</v>
      </c>
    </row>
    <row r="29" spans="1:3" x14ac:dyDescent="0.2">
      <c r="A29" t="s">
        <v>780</v>
      </c>
      <c r="B29" s="239">
        <v>14477.79</v>
      </c>
      <c r="C29" s="239">
        <v>1107.55</v>
      </c>
    </row>
    <row r="30" spans="1:3" x14ac:dyDescent="0.2">
      <c r="A30" t="s">
        <v>781</v>
      </c>
      <c r="B30" s="239"/>
      <c r="C30" s="239"/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264903.32</v>
      </c>
      <c r="C31" s="230">
        <f>SUM(C28:C30)</f>
        <v>101711.64</v>
      </c>
    </row>
    <row r="33" spans="1:3" x14ac:dyDescent="0.2">
      <c r="B33" s="274" t="s">
        <v>783</v>
      </c>
      <c r="C33" s="274"/>
    </row>
    <row r="34" spans="1:3" x14ac:dyDescent="0.2">
      <c r="A34" s="238" t="s">
        <v>789</v>
      </c>
      <c r="B34" s="272" t="s">
        <v>709</v>
      </c>
      <c r="C34" s="273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'DOE25'!F200+'DOE25'!F218+'DOE25'!F236+'DOE25'!F279+'DOE25'!F298+'DOE25'!F317</f>
        <v>380037.96</v>
      </c>
      <c r="C36" s="234">
        <f>'DOE25'!G200+'DOE25'!G218+'DOE25'!G236+'DOE25'!G279+'DOE25'!G298+'DOE25'!G317</f>
        <v>70788.73000000001</v>
      </c>
    </row>
    <row r="37" spans="1:3" x14ac:dyDescent="0.2">
      <c r="A37" t="s">
        <v>779</v>
      </c>
      <c r="B37" s="239">
        <v>142038.65</v>
      </c>
      <c r="C37" s="239">
        <v>33323.78</v>
      </c>
    </row>
    <row r="38" spans="1:3" x14ac:dyDescent="0.2">
      <c r="A38" t="s">
        <v>780</v>
      </c>
      <c r="B38" s="239">
        <v>38414.160000000003</v>
      </c>
      <c r="C38" s="239">
        <v>6233.29</v>
      </c>
    </row>
    <row r="39" spans="1:3" x14ac:dyDescent="0.2">
      <c r="A39" t="s">
        <v>781</v>
      </c>
      <c r="B39" s="239">
        <v>199585.15</v>
      </c>
      <c r="C39" s="239">
        <v>31231.66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380037.95999999996</v>
      </c>
      <c r="C40" s="230">
        <f>SUM(C37:C39)</f>
        <v>70788.73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0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0"/>
    </row>
    <row r="2" spans="1:9" x14ac:dyDescent="0.2">
      <c r="A2" s="33" t="s">
        <v>717</v>
      </c>
      <c r="B2" s="264" t="str">
        <f>'DOE25'!A2</f>
        <v>Jaffrey-Rindge Cooperative School District (SAU47)</v>
      </c>
      <c r="C2" s="180"/>
      <c r="D2" s="180" t="s">
        <v>792</v>
      </c>
      <c r="E2" s="180" t="s">
        <v>794</v>
      </c>
      <c r="F2" s="276" t="s">
        <v>821</v>
      </c>
      <c r="G2" s="277"/>
      <c r="H2" s="278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13580585.840000002</v>
      </c>
      <c r="D5" s="20">
        <f>SUM('DOE25'!L197:L200)+SUM('DOE25'!L215:L218)+SUM('DOE25'!L233:L236)-F5-G5</f>
        <v>13488918.440000003</v>
      </c>
      <c r="E5" s="242"/>
      <c r="F5" s="254">
        <f>SUM('DOE25'!J197:J200)+SUM('DOE25'!J215:J218)+SUM('DOE25'!J233:J236)</f>
        <v>50651.29</v>
      </c>
      <c r="G5" s="53">
        <f>SUM('DOE25'!K197:K200)+SUM('DOE25'!K215:K218)+SUM('DOE25'!K233:K236)</f>
        <v>41016.11</v>
      </c>
      <c r="H5" s="258"/>
    </row>
    <row r="6" spans="1:9" x14ac:dyDescent="0.2">
      <c r="A6" s="32">
        <v>2100</v>
      </c>
      <c r="B6" t="s">
        <v>801</v>
      </c>
      <c r="C6" s="244">
        <f t="shared" si="0"/>
        <v>1425549.25</v>
      </c>
      <c r="D6" s="20">
        <f>'DOE25'!L202+'DOE25'!L220+'DOE25'!L238-F6-G6</f>
        <v>1419528.21</v>
      </c>
      <c r="E6" s="242"/>
      <c r="F6" s="254">
        <f>'DOE25'!J202+'DOE25'!J220+'DOE25'!J238</f>
        <v>5846.04</v>
      </c>
      <c r="G6" s="53">
        <f>'DOE25'!K202+'DOE25'!K220+'DOE25'!K238</f>
        <v>175</v>
      </c>
      <c r="H6" s="258"/>
    </row>
    <row r="7" spans="1:9" x14ac:dyDescent="0.2">
      <c r="A7" s="32">
        <v>2200</v>
      </c>
      <c r="B7" t="s">
        <v>834</v>
      </c>
      <c r="C7" s="244">
        <f t="shared" si="0"/>
        <v>694058.57</v>
      </c>
      <c r="D7" s="20">
        <f>'DOE25'!L203+'DOE25'!L221+'DOE25'!L239-F7-G7</f>
        <v>684187.90999999992</v>
      </c>
      <c r="E7" s="242"/>
      <c r="F7" s="254">
        <f>'DOE25'!J203+'DOE25'!J221+'DOE25'!J239</f>
        <v>3190.66</v>
      </c>
      <c r="G7" s="53">
        <f>'DOE25'!K203+'DOE25'!K221+'DOE25'!K239</f>
        <v>6680</v>
      </c>
      <c r="H7" s="258"/>
    </row>
    <row r="8" spans="1:9" x14ac:dyDescent="0.2">
      <c r="A8" s="32">
        <v>2300</v>
      </c>
      <c r="B8" t="s">
        <v>802</v>
      </c>
      <c r="C8" s="244">
        <f t="shared" si="0"/>
        <v>10816.130000000023</v>
      </c>
      <c r="D8" s="242"/>
      <c r="E8" s="20">
        <f>'DOE25'!L204+'DOE25'!L222+'DOE25'!L240-F8-G8-D9-D11</f>
        <v>521.68000000002212</v>
      </c>
      <c r="F8" s="254">
        <f>'DOE25'!J204+'DOE25'!J222+'DOE25'!J240</f>
        <v>0</v>
      </c>
      <c r="G8" s="53">
        <f>'DOE25'!K204+'DOE25'!K222+'DOE25'!K240</f>
        <v>10294.450000000001</v>
      </c>
      <c r="H8" s="258"/>
    </row>
    <row r="9" spans="1:9" x14ac:dyDescent="0.2">
      <c r="A9" s="32">
        <v>2310</v>
      </c>
      <c r="B9" t="s">
        <v>818</v>
      </c>
      <c r="C9" s="244">
        <f t="shared" si="0"/>
        <v>82725.78</v>
      </c>
      <c r="D9" s="243">
        <v>82725.78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25000</v>
      </c>
      <c r="D10" s="242"/>
      <c r="E10" s="243">
        <v>25000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228641.86</v>
      </c>
      <c r="D11" s="243">
        <v>228641.86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1161839.6599999999</v>
      </c>
      <c r="D12" s="20">
        <f>'DOE25'!L205+'DOE25'!L223+'DOE25'!L241-F12-G12</f>
        <v>1151712.0699999998</v>
      </c>
      <c r="E12" s="242"/>
      <c r="F12" s="254">
        <f>'DOE25'!J205+'DOE25'!J223+'DOE25'!J241</f>
        <v>2061.59</v>
      </c>
      <c r="G12" s="53">
        <f>'DOE25'!K205+'DOE25'!K223+'DOE25'!K241</f>
        <v>8066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442034.63</v>
      </c>
      <c r="D13" s="242"/>
      <c r="E13" s="20">
        <f>'DOE25'!L206+'DOE25'!L224+'DOE25'!L242-F13-G13</f>
        <v>429439.83999999997</v>
      </c>
      <c r="F13" s="254">
        <f>'DOE25'!J206+'DOE25'!J224+'DOE25'!J242</f>
        <v>1378.2</v>
      </c>
      <c r="G13" s="53">
        <f>'DOE25'!K206+'DOE25'!K224+'DOE25'!K242</f>
        <v>11216.59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2166452.34</v>
      </c>
      <c r="D14" s="20">
        <f>'DOE25'!L207+'DOE25'!L225+'DOE25'!L243-F14-G14</f>
        <v>2065016.0899999999</v>
      </c>
      <c r="E14" s="242"/>
      <c r="F14" s="254">
        <f>'DOE25'!J207+'DOE25'!J225+'DOE25'!J243</f>
        <v>101306.25</v>
      </c>
      <c r="G14" s="53">
        <f>'DOE25'!K207+'DOE25'!K225+'DOE25'!K243</f>
        <v>130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1441430.71</v>
      </c>
      <c r="D15" s="20">
        <f>'DOE25'!L208+'DOE25'!L226+'DOE25'!L244-F15-G15</f>
        <v>1441430.71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893822.20000000007</v>
      </c>
      <c r="D16" s="242"/>
      <c r="E16" s="20">
        <f>'DOE25'!L209+'DOE25'!L227+'DOE25'!L245-F16-G16</f>
        <v>577800.07000000007</v>
      </c>
      <c r="F16" s="254">
        <f>'DOE25'!J209+'DOE25'!J227+'DOE25'!J245</f>
        <v>316022.13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'DOE25'!L251-F17-G17</f>
        <v>0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0</v>
      </c>
      <c r="D22" s="242"/>
      <c r="E22" s="242"/>
      <c r="F22" s="254">
        <f>'DOE25'!L255+'DOE25'!L336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934650</v>
      </c>
      <c r="D25" s="242"/>
      <c r="E25" s="242"/>
      <c r="F25" s="257"/>
      <c r="G25" s="255"/>
      <c r="H25" s="256">
        <f>'DOE25'!L260+'DOE25'!L261+'DOE25'!L341+'DOE25'!L342</f>
        <v>934650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603073.57999999984</v>
      </c>
      <c r="D29" s="20">
        <f>'DOE25'!L358+'DOE25'!L359+'DOE25'!L360-'DOE25'!I367-F29-G29</f>
        <v>602513.91999999981</v>
      </c>
      <c r="E29" s="242"/>
      <c r="F29" s="254">
        <f>'DOE25'!J358+'DOE25'!J359+'DOE25'!J360</f>
        <v>225</v>
      </c>
      <c r="G29" s="53">
        <f>'DOE25'!K358+'DOE25'!K359+'DOE25'!K360</f>
        <v>334.65999999999997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1027474.9900000001</v>
      </c>
      <c r="D31" s="20">
        <f>'DOE25'!L290+'DOE25'!L309+'DOE25'!L328+'DOE25'!L333+'DOE25'!L334+'DOE25'!L335-F31-G31</f>
        <v>1009745.3400000001</v>
      </c>
      <c r="E31" s="242"/>
      <c r="F31" s="254">
        <f>'DOE25'!J290+'DOE25'!J309+'DOE25'!J328+'DOE25'!J333+'DOE25'!J334+'DOE25'!J335</f>
        <v>17729.650000000001</v>
      </c>
      <c r="G31" s="53">
        <f>'DOE25'!K290+'DOE25'!K309+'DOE25'!K328+'DOE25'!K333+'DOE25'!K334+'DOE25'!K335</f>
        <v>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22174420.329999998</v>
      </c>
      <c r="E33" s="245">
        <f>SUM(E5:E31)</f>
        <v>1032761.5900000001</v>
      </c>
      <c r="F33" s="245">
        <f>SUM(F5:F31)</f>
        <v>498410.81000000006</v>
      </c>
      <c r="G33" s="245">
        <f>SUM(G5:G31)</f>
        <v>77912.81</v>
      </c>
      <c r="H33" s="245">
        <f>SUM(H5:H31)</f>
        <v>934650</v>
      </c>
    </row>
    <row r="35" spans="2:8" ht="12" thickBot="1" x14ac:dyDescent="0.25">
      <c r="B35" s="252" t="s">
        <v>847</v>
      </c>
      <c r="D35" s="253">
        <f>E33</f>
        <v>1032761.5900000001</v>
      </c>
      <c r="E35" s="248"/>
    </row>
    <row r="36" spans="2:8" ht="12" thickTop="1" x14ac:dyDescent="0.2">
      <c r="B36" t="s">
        <v>815</v>
      </c>
      <c r="D36" s="20">
        <f>D33</f>
        <v>22174420.329999998</v>
      </c>
    </row>
    <row r="38" spans="2:8" x14ac:dyDescent="0.2">
      <c r="B38" s="186" t="s">
        <v>895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9" activePane="bottomLeft" state="frozen"/>
      <selection activeCell="F46" sqref="F46"/>
      <selection pane="bottomLeft" activeCell="C141" sqref="C14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Jaffrey-Rindge Cooperative School District (SAU47)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889655.22</v>
      </c>
      <c r="D8" s="95">
        <f>'DOE25'!G9</f>
        <v>647.69000000000005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2499126.5099999998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108553.93</v>
      </c>
      <c r="D11" s="95">
        <f>'DOE25'!G12</f>
        <v>27019.91</v>
      </c>
      <c r="E11" s="95">
        <f>'DOE25'!H12</f>
        <v>1665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62335.43</v>
      </c>
      <c r="D12" s="95">
        <f>'DOE25'!G13</f>
        <v>19094.27</v>
      </c>
      <c r="E12" s="95">
        <f>'DOE25'!H13</f>
        <v>137238.84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375.12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14042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26715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1087634.7</v>
      </c>
      <c r="D18" s="41">
        <f>SUM(D8:D17)</f>
        <v>60803.869999999995</v>
      </c>
      <c r="E18" s="41">
        <f>SUM(E8:E17)</f>
        <v>138903.84</v>
      </c>
      <c r="F18" s="41">
        <f>SUM(F8:F17)</f>
        <v>0</v>
      </c>
      <c r="G18" s="41">
        <f>SUM(G8:G17)</f>
        <v>2499126.5099999998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137238.84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27000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109682.96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33311.379999999997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25034.76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38596.11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13349.45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173313.83000000002</v>
      </c>
      <c r="D31" s="41">
        <f>SUM(D21:D30)</f>
        <v>46660.83</v>
      </c>
      <c r="E31" s="41">
        <f>SUM(E21:E30)</f>
        <v>137238.84</v>
      </c>
      <c r="F31" s="41">
        <f>SUM(F21:F30)</f>
        <v>0</v>
      </c>
      <c r="G31" s="41">
        <f>SUM(G21:G30)</f>
        <v>27000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14042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26715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780163.38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20510.229999999996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101.04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1665</v>
      </c>
      <c r="F42" s="95">
        <f>'DOE25'!I43</f>
        <v>0</v>
      </c>
      <c r="G42" s="95">
        <f>'DOE25'!J43</f>
        <v>1671452.9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47638.22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150000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225332.66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210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214424.99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914320.87</v>
      </c>
      <c r="D50" s="41">
        <f>SUM(D34:D49)</f>
        <v>14143.04</v>
      </c>
      <c r="E50" s="41">
        <f>SUM(E34:E49)</f>
        <v>1665</v>
      </c>
      <c r="F50" s="41">
        <f>SUM(F34:F49)</f>
        <v>0</v>
      </c>
      <c r="G50" s="41">
        <f>SUM(G34:G49)</f>
        <v>2472126.5099999998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1087634.7</v>
      </c>
      <c r="D51" s="41">
        <f>D50+D31</f>
        <v>60803.87</v>
      </c>
      <c r="E51" s="41">
        <f>E50+E31</f>
        <v>138903.84</v>
      </c>
      <c r="F51" s="41">
        <f>F50+F31</f>
        <v>0</v>
      </c>
      <c r="G51" s="41">
        <f>G50+G31</f>
        <v>2499126.5099999998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14645977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24144.91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63370.98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309198.65000000002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242987.96</v>
      </c>
      <c r="D61" s="95">
        <f>SUM('DOE25'!G98:G110)</f>
        <v>0</v>
      </c>
      <c r="E61" s="95">
        <f>SUM('DOE25'!H98:H110)</f>
        <v>1665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267132.87</v>
      </c>
      <c r="D62" s="130">
        <f>SUM(D57:D61)</f>
        <v>309198.65000000002</v>
      </c>
      <c r="E62" s="130">
        <f>SUM(E57:E61)</f>
        <v>1665</v>
      </c>
      <c r="F62" s="130">
        <f>SUM(F57:F61)</f>
        <v>0</v>
      </c>
      <c r="G62" s="130">
        <f>SUM(G57:G61)</f>
        <v>63370.98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14913109.869999999</v>
      </c>
      <c r="D63" s="22">
        <f>D56+D62</f>
        <v>309198.65000000002</v>
      </c>
      <c r="E63" s="22">
        <f>E56+E62</f>
        <v>1665</v>
      </c>
      <c r="F63" s="22">
        <f>F56+F62</f>
        <v>0</v>
      </c>
      <c r="G63" s="22">
        <f>G56+G62</f>
        <v>63370.98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5196762.12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2356591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7553353.1200000001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325898.36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160053.01999999999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13096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7761.82</v>
      </c>
      <c r="E77" s="95">
        <f>SUM('DOE25'!H131:H135)</f>
        <v>8420.7099999999991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499047.38</v>
      </c>
      <c r="D78" s="130">
        <f>SUM(D72:D77)</f>
        <v>7761.82</v>
      </c>
      <c r="E78" s="130">
        <f>SUM(E72:E77)</f>
        <v>8420.7099999999991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8052400.5</v>
      </c>
      <c r="D81" s="130">
        <f>SUM(D79:D80)+D78+D70</f>
        <v>7761.82</v>
      </c>
      <c r="E81" s="130">
        <f>SUM(E79:E80)+E78+E70</f>
        <v>8420.7099999999991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175980.61</v>
      </c>
      <c r="D88" s="95">
        <f>SUM('DOE25'!G153:G161)</f>
        <v>279623.13</v>
      </c>
      <c r="E88" s="95">
        <f>SUM('DOE25'!H153:H161)</f>
        <v>1059904.6499999999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175980.61</v>
      </c>
      <c r="D91" s="131">
        <f>SUM(D85:D90)</f>
        <v>279623.13</v>
      </c>
      <c r="E91" s="131">
        <f>SUM(E85:E90)</f>
        <v>1059904.6499999999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17750</v>
      </c>
      <c r="E96" s="95">
        <f>'DOE25'!H179</f>
        <v>0</v>
      </c>
      <c r="F96" s="95">
        <f>'DOE25'!I179</f>
        <v>0</v>
      </c>
      <c r="G96" s="95">
        <f>'DOE25'!J179</f>
        <v>382212</v>
      </c>
    </row>
    <row r="97" spans="1:7" x14ac:dyDescent="0.2">
      <c r="A97" t="s">
        <v>758</v>
      </c>
      <c r="B97" s="32" t="s">
        <v>188</v>
      </c>
      <c r="C97" s="95">
        <f>SUM('DOE25'!F180:F181)</f>
        <v>26283.99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4021.09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13745.43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44050.51</v>
      </c>
      <c r="D103" s="86">
        <f>SUM(D93:D102)</f>
        <v>17750</v>
      </c>
      <c r="E103" s="86">
        <f>SUM(E93:E102)</f>
        <v>0</v>
      </c>
      <c r="F103" s="86">
        <f>SUM(F93:F102)</f>
        <v>0</v>
      </c>
      <c r="G103" s="86">
        <f>SUM(G93:G102)</f>
        <v>382212</v>
      </c>
    </row>
    <row r="104" spans="1:7" ht="12.75" thickTop="1" thickBot="1" x14ac:dyDescent="0.25">
      <c r="A104" s="33" t="s">
        <v>765</v>
      </c>
      <c r="C104" s="86">
        <f>C63+C81+C91+C103</f>
        <v>23185541.489999998</v>
      </c>
      <c r="D104" s="86">
        <f>D63+D81+D91+D103</f>
        <v>614333.60000000009</v>
      </c>
      <c r="E104" s="86">
        <f>E63+E81+E91+E103</f>
        <v>1069990.3599999999</v>
      </c>
      <c r="F104" s="86">
        <f>F63+F81+F91+F103</f>
        <v>0</v>
      </c>
      <c r="G104" s="86">
        <f>G63+G81+G103</f>
        <v>445582.98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7681711.129999999</v>
      </c>
      <c r="D109" s="24" t="s">
        <v>289</v>
      </c>
      <c r="E109" s="95">
        <f>('DOE25'!L276)+('DOE25'!L295)+('DOE25'!L314)</f>
        <v>358711.25000000006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5145351.33</v>
      </c>
      <c r="D110" s="24" t="s">
        <v>289</v>
      </c>
      <c r="E110" s="95">
        <f>('DOE25'!L277)+('DOE25'!L296)+('DOE25'!L315)</f>
        <v>170931.61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429410.74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324112.64000000001</v>
      </c>
      <c r="D112" s="24" t="s">
        <v>289</v>
      </c>
      <c r="E112" s="95">
        <f>+('DOE25'!L279)+('DOE25'!L298)+('DOE25'!L317)</f>
        <v>258706.8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14566.380000000001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8089.3099999999995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13580585.84</v>
      </c>
      <c r="D115" s="86">
        <f>SUM(D109:D114)</f>
        <v>0</v>
      </c>
      <c r="E115" s="86">
        <f>SUM(E109:E114)</f>
        <v>811005.35000000021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1425549.25</v>
      </c>
      <c r="D118" s="24" t="s">
        <v>289</v>
      </c>
      <c r="E118" s="95">
        <f>+('DOE25'!L281)+('DOE25'!L300)+('DOE25'!L319)</f>
        <v>106526.8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694058.57</v>
      </c>
      <c r="D119" s="24" t="s">
        <v>289</v>
      </c>
      <c r="E119" s="95">
        <f>+('DOE25'!L282)+('DOE25'!L301)+('DOE25'!L320)</f>
        <v>124179.22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322183.77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1161839.6599999999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442034.63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2166452.34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1441430.71</v>
      </c>
      <c r="D124" s="24" t="s">
        <v>289</v>
      </c>
      <c r="E124" s="95">
        <f>+('DOE25'!L287)+('DOE25'!L306)+('DOE25'!L325)</f>
        <v>330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893822.20000000007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617339.74999999988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8547371.129999999</v>
      </c>
      <c r="D128" s="86">
        <f>SUM(D118:D127)</f>
        <v>617339.74999999988</v>
      </c>
      <c r="E128" s="86">
        <f>SUM(E118:E127)</f>
        <v>231036.02000000002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675000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259650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26283.99</v>
      </c>
      <c r="F134" s="95">
        <f>'DOE25'!K381</f>
        <v>0</v>
      </c>
      <c r="G134" s="95">
        <f>'DOE25'!K434</f>
        <v>17766.52</v>
      </c>
    </row>
    <row r="135" spans="1:7" x14ac:dyDescent="0.2">
      <c r="A135" t="s">
        <v>233</v>
      </c>
      <c r="B135" s="32" t="s">
        <v>234</v>
      </c>
      <c r="C135" s="95">
        <f>'DOE25'!L263</f>
        <v>17750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333279.13999999996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83203.86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29099.98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-63370.979999999923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1334612</v>
      </c>
      <c r="D144" s="141">
        <f>SUM(D130:D143)</f>
        <v>0</v>
      </c>
      <c r="E144" s="141">
        <f>SUM(E130:E143)</f>
        <v>26283.99</v>
      </c>
      <c r="F144" s="141">
        <f>SUM(F130:F143)</f>
        <v>0</v>
      </c>
      <c r="G144" s="141">
        <f>SUM(G130:G143)</f>
        <v>17766.52</v>
      </c>
    </row>
    <row r="145" spans="1:9" ht="12.75" thickTop="1" thickBot="1" x14ac:dyDescent="0.25">
      <c r="A145" s="33" t="s">
        <v>244</v>
      </c>
      <c r="C145" s="86">
        <f>(C115+C128+C144)</f>
        <v>23462568.969999999</v>
      </c>
      <c r="D145" s="86">
        <f>(D115+D128+D144)</f>
        <v>617339.74999999988</v>
      </c>
      <c r="E145" s="86">
        <f>(E115+E128+E144)</f>
        <v>1068325.3600000003</v>
      </c>
      <c r="F145" s="86">
        <f>(F115+F128+F144)</f>
        <v>0</v>
      </c>
      <c r="G145" s="86">
        <f>(G115+G128+G144)</f>
        <v>17766.52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15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07/05</v>
      </c>
      <c r="C152" s="152" t="str">
        <f>'DOE25'!G491</f>
        <v>07/06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08/15</v>
      </c>
      <c r="C153" s="152" t="str">
        <f>'DOE25'!G492</f>
        <v>08/21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631625</v>
      </c>
      <c r="C154" s="137">
        <f>'DOE25'!G493</f>
        <v>9247684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</v>
      </c>
      <c r="C155" s="137">
        <f>'DOE25'!G494</f>
        <v>5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180000</v>
      </c>
      <c r="C156" s="137">
        <f>'DOE25'!G495</f>
        <v>5535000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5715000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60000</v>
      </c>
      <c r="C158" s="137">
        <f>'DOE25'!G497</f>
        <v>615000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675000</v>
      </c>
    </row>
    <row r="159" spans="1:9" x14ac:dyDescent="0.2">
      <c r="A159" s="22" t="s">
        <v>35</v>
      </c>
      <c r="B159" s="137">
        <f>'DOE25'!F498</f>
        <v>120000</v>
      </c>
      <c r="C159" s="137">
        <f>'DOE25'!G498</f>
        <v>4920000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5040000</v>
      </c>
    </row>
    <row r="160" spans="1:9" x14ac:dyDescent="0.2">
      <c r="A160" s="22" t="s">
        <v>36</v>
      </c>
      <c r="B160" s="137">
        <f>'DOE25'!F499</f>
        <v>6000</v>
      </c>
      <c r="C160" s="137">
        <f>'DOE25'!G499</f>
        <v>930956.26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936956.26</v>
      </c>
    </row>
    <row r="161" spans="1:7" x14ac:dyDescent="0.2">
      <c r="A161" s="22" t="s">
        <v>37</v>
      </c>
      <c r="B161" s="137">
        <f>'DOE25'!F500</f>
        <v>126000</v>
      </c>
      <c r="C161" s="137">
        <f>'DOE25'!G500</f>
        <v>5850956.2599999998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5976956.2599999998</v>
      </c>
    </row>
    <row r="162" spans="1:7" x14ac:dyDescent="0.2">
      <c r="A162" s="22" t="s">
        <v>38</v>
      </c>
      <c r="B162" s="137">
        <f>'DOE25'!F501</f>
        <v>60000</v>
      </c>
      <c r="C162" s="137">
        <f>'DOE25'!G501</f>
        <v>615000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675000</v>
      </c>
    </row>
    <row r="163" spans="1:7" x14ac:dyDescent="0.2">
      <c r="A163" s="22" t="s">
        <v>39</v>
      </c>
      <c r="B163" s="137">
        <f>'DOE25'!F502</f>
        <v>4500</v>
      </c>
      <c r="C163" s="137">
        <f>'DOE25'!G502</f>
        <v>221400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225900</v>
      </c>
    </row>
    <row r="164" spans="1:7" x14ac:dyDescent="0.2">
      <c r="A164" s="22" t="s">
        <v>246</v>
      </c>
      <c r="B164" s="137">
        <f>'DOE25'!F503</f>
        <v>64500</v>
      </c>
      <c r="C164" s="137">
        <f>'DOE25'!G503</f>
        <v>836400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900900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6" t="s">
        <v>717</v>
      </c>
      <c r="B2" s="185" t="str">
        <f>'DOE25'!A2</f>
        <v>Jaffrey-Rindge Cooperative School District (SAU47)</v>
      </c>
    </row>
    <row r="3" spans="1:4" x14ac:dyDescent="0.2">
      <c r="B3" s="187" t="s">
        <v>896</v>
      </c>
    </row>
    <row r="4" spans="1:4" x14ac:dyDescent="0.2">
      <c r="B4" t="s">
        <v>61</v>
      </c>
      <c r="C4" s="178">
        <f>IF('DOE25'!F665+'DOE25'!F670=0,0,ROUND('DOE25'!F672,0))</f>
        <v>13268</v>
      </c>
    </row>
    <row r="5" spans="1:4" x14ac:dyDescent="0.2">
      <c r="B5" t="s">
        <v>704</v>
      </c>
      <c r="C5" s="178">
        <f>IF('DOE25'!G665+'DOE25'!G670=0,0,ROUND('DOE25'!G672,0))</f>
        <v>14010</v>
      </c>
    </row>
    <row r="6" spans="1:4" x14ac:dyDescent="0.2">
      <c r="B6" t="s">
        <v>62</v>
      </c>
      <c r="C6" s="178">
        <f>IF('DOE25'!H665+'DOE25'!H670=0,0,ROUND('DOE25'!H672,0))</f>
        <v>14652</v>
      </c>
    </row>
    <row r="7" spans="1:4" x14ac:dyDescent="0.2">
      <c r="B7" t="s">
        <v>705</v>
      </c>
      <c r="C7" s="178">
        <f>IF('DOE25'!I665+'DOE25'!I670=0,0,ROUND('DOE25'!I672,0))</f>
        <v>13850</v>
      </c>
    </row>
    <row r="9" spans="1:4" x14ac:dyDescent="0.2">
      <c r="A9" s="186" t="s">
        <v>94</v>
      </c>
      <c r="B9" s="187" t="s">
        <v>897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ROUND('DOE25'!L197+'DOE25'!L215+'DOE25'!L233+'DOE25'!L276+'DOE25'!L295+'DOE25'!L314,0)</f>
        <v>8040422</v>
      </c>
      <c r="D10" s="181">
        <f>ROUND((C10/$C$28)*100,1)</f>
        <v>33.9</v>
      </c>
    </row>
    <row r="11" spans="1:4" x14ac:dyDescent="0.2">
      <c r="A11">
        <v>1200</v>
      </c>
      <c r="B11" t="s">
        <v>707</v>
      </c>
      <c r="C11" s="178">
        <f>ROUND('DOE25'!L198+'DOE25'!L216+'DOE25'!L234+'DOE25'!L277+'DOE25'!L296+'DOE25'!L315,0)</f>
        <v>5316283</v>
      </c>
      <c r="D11" s="181">
        <f>ROUND((C11/$C$28)*100,1)</f>
        <v>22.4</v>
      </c>
    </row>
    <row r="12" spans="1:4" x14ac:dyDescent="0.2">
      <c r="A12">
        <v>1300</v>
      </c>
      <c r="B12" t="s">
        <v>708</v>
      </c>
      <c r="C12" s="178">
        <f>ROUND('DOE25'!L199+'DOE25'!L217+'DOE25'!L235+'DOE25'!L278+'DOE25'!L297+'DOE25'!L316,0)</f>
        <v>429411</v>
      </c>
      <c r="D12" s="181">
        <f>ROUND((C12/$C$28)*100,1)</f>
        <v>1.8</v>
      </c>
    </row>
    <row r="13" spans="1:4" x14ac:dyDescent="0.2">
      <c r="A13">
        <v>1400</v>
      </c>
      <c r="B13" t="s">
        <v>709</v>
      </c>
      <c r="C13" s="178">
        <f>ROUND('DOE25'!L200+'DOE25'!L218+'DOE25'!L236+'DOE25'!L279+'DOE25'!L298+'DOE25'!L317,0)</f>
        <v>582819</v>
      </c>
      <c r="D13" s="181">
        <f>ROUND((C13/$C$28)*100,1)</f>
        <v>2.5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ROUND('DOE25'!L202+'DOE25'!L220+'DOE25'!L238+'DOE25'!L281+'DOE25'!L300+'DOE25'!L319,0)</f>
        <v>1532076</v>
      </c>
      <c r="D15" s="181">
        <f t="shared" ref="D15:D27" si="0">ROUND((C15/$C$28)*100,1)</f>
        <v>6.5</v>
      </c>
    </row>
    <row r="16" spans="1:4" x14ac:dyDescent="0.2">
      <c r="A16">
        <v>2200</v>
      </c>
      <c r="B16" t="s">
        <v>711</v>
      </c>
      <c r="C16" s="178">
        <f>ROUND('DOE25'!L203+'DOE25'!L221+'DOE25'!L239+'DOE25'!L282+'DOE25'!L301+'DOE25'!L320,0)</f>
        <v>818238</v>
      </c>
      <c r="D16" s="181">
        <f t="shared" si="0"/>
        <v>3.4</v>
      </c>
    </row>
    <row r="17" spans="1:4" x14ac:dyDescent="0.2">
      <c r="A17" s="182" t="s">
        <v>727</v>
      </c>
      <c r="B17" t="s">
        <v>742</v>
      </c>
      <c r="C17" s="178">
        <f>ROUND('DOE25'!L204+'DOE25'!L209+'DOE25'!L222+'DOE25'!L227+'DOE25'!L240+'DOE25'!L245+'DOE25'!L283+'DOE25'!L288+'DOE25'!L302+'DOE25'!L307+'DOE25'!L321+'DOE25'!L326,0)</f>
        <v>1216006</v>
      </c>
      <c r="D17" s="181">
        <f t="shared" si="0"/>
        <v>5.0999999999999996</v>
      </c>
    </row>
    <row r="18" spans="1:4" x14ac:dyDescent="0.2">
      <c r="A18">
        <v>2400</v>
      </c>
      <c r="B18" t="s">
        <v>715</v>
      </c>
      <c r="C18" s="178">
        <f>ROUND('DOE25'!L205+'DOE25'!L223+'DOE25'!L241+'DOE25'!L284+'DOE25'!L303+'DOE25'!L322,0)</f>
        <v>1161840</v>
      </c>
      <c r="D18" s="181">
        <f t="shared" si="0"/>
        <v>4.9000000000000004</v>
      </c>
    </row>
    <row r="19" spans="1:4" x14ac:dyDescent="0.2">
      <c r="A19">
        <v>2500</v>
      </c>
      <c r="B19" t="s">
        <v>712</v>
      </c>
      <c r="C19" s="178">
        <f>ROUND('DOE25'!L206+'DOE25'!L224+'DOE25'!L242+'DOE25'!L285+'DOE25'!L304+'DOE25'!L323,0)</f>
        <v>442035</v>
      </c>
      <c r="D19" s="181">
        <f t="shared" si="0"/>
        <v>1.9</v>
      </c>
    </row>
    <row r="20" spans="1:4" x14ac:dyDescent="0.2">
      <c r="A20">
        <v>2600</v>
      </c>
      <c r="B20" t="s">
        <v>713</v>
      </c>
      <c r="C20" s="178">
        <f>ROUND('DOE25'!L207+'DOE25'!L225+'DOE25'!L243+'DOE25'!L286+'DOE25'!L305+'DOE25'!L324,0)</f>
        <v>2166452</v>
      </c>
      <c r="D20" s="181">
        <f t="shared" si="0"/>
        <v>9.1</v>
      </c>
    </row>
    <row r="21" spans="1:4" x14ac:dyDescent="0.2">
      <c r="A21">
        <v>2700</v>
      </c>
      <c r="B21" t="s">
        <v>714</v>
      </c>
      <c r="C21" s="178">
        <f>ROUND('DOE25'!L208+'DOE25'!L226+'DOE25'!L244+'DOE25'!L287+'DOE25'!L306+'DOE25'!L325,0)</f>
        <v>1441761</v>
      </c>
      <c r="D21" s="181">
        <f t="shared" si="0"/>
        <v>6.1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ROUND('DOE25'!L250+'DOE25'!L332,0)</f>
        <v>14566</v>
      </c>
      <c r="D23" s="181">
        <f t="shared" si="0"/>
        <v>0.1</v>
      </c>
    </row>
    <row r="24" spans="1:4" x14ac:dyDescent="0.2">
      <c r="A24" s="182" t="s">
        <v>726</v>
      </c>
      <c r="B24" t="s">
        <v>719</v>
      </c>
      <c r="C24" s="178">
        <f>ROUND('DOE25'!L251+'DOE25'!L252+'DOE25'!L253+'DOE25'!L254+'DOE25'!L333+'DOE25'!L334+'DOE25'!L335,0)</f>
        <v>8089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ROUND('DOE25'!L261+'DOE25'!L342,0)</f>
        <v>259650</v>
      </c>
      <c r="D25" s="181">
        <f t="shared" si="0"/>
        <v>1.1000000000000001</v>
      </c>
    </row>
    <row r="26" spans="1:4" x14ac:dyDescent="0.2">
      <c r="A26" s="182" t="s">
        <v>721</v>
      </c>
      <c r="B26" t="s">
        <v>722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308141.34999999998</v>
      </c>
      <c r="D27" s="181">
        <f t="shared" si="0"/>
        <v>1.3</v>
      </c>
    </row>
    <row r="28" spans="1:4" x14ac:dyDescent="0.2">
      <c r="B28" s="186" t="s">
        <v>723</v>
      </c>
      <c r="C28" s="179">
        <f>SUM(C10:C27)</f>
        <v>23737789.350000001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ROUND('DOE25'!L255+'DOE25'!L336+'DOE25'!L374+'DOE25'!L375+'DOE25'!L376+'DOE25'!L377+'DOE25'!L378+'DOE25'!L379+'DOE25'!L380,0)</f>
        <v>0</v>
      </c>
    </row>
    <row r="30" spans="1:4" x14ac:dyDescent="0.2">
      <c r="B30" s="186" t="s">
        <v>729</v>
      </c>
      <c r="C30" s="179">
        <f>SUM(C28:C29)</f>
        <v>23737789.350000001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ROUND('DOE25'!L260+'DOE25'!L341,0)</f>
        <v>675000</v>
      </c>
    </row>
    <row r="34" spans="1:4" x14ac:dyDescent="0.2">
      <c r="A34" s="186" t="s">
        <v>94</v>
      </c>
      <c r="B34" s="187" t="s">
        <v>898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ROUND('DOE25'!F60+'DOE25'!G60+'DOE25'!H60+'DOE25'!I60+'DOE25'!J60,0)</f>
        <v>14645977</v>
      </c>
      <c r="D35" s="181">
        <f t="shared" ref="D35:D40" si="1">ROUND((C35/$C$41)*100,1)</f>
        <v>59.6</v>
      </c>
    </row>
    <row r="36" spans="1:4" x14ac:dyDescent="0.2">
      <c r="B36" s="184" t="s">
        <v>743</v>
      </c>
      <c r="C36" s="178">
        <f>SUM('DOE25'!F112:J112)-SUM('DOE25'!G97:G110)+('DOE25'!F174+'DOE25'!F175+'DOE25'!I174+'DOE25'!I175)-C35</f>
        <v>332168.85000000149</v>
      </c>
      <c r="D36" s="181">
        <f t="shared" si="1"/>
        <v>1.4</v>
      </c>
    </row>
    <row r="37" spans="1:4" x14ac:dyDescent="0.2">
      <c r="A37" s="182" t="s">
        <v>851</v>
      </c>
      <c r="B37" s="184" t="s">
        <v>732</v>
      </c>
      <c r="C37" s="178">
        <f>ROUND('DOE25'!F117+'DOE25'!F118,0)</f>
        <v>7553353</v>
      </c>
      <c r="D37" s="181">
        <f t="shared" si="1"/>
        <v>30.8</v>
      </c>
    </row>
    <row r="38" spans="1:4" x14ac:dyDescent="0.2">
      <c r="A38" s="182" t="s">
        <v>738</v>
      </c>
      <c r="B38" s="184" t="s">
        <v>733</v>
      </c>
      <c r="C38" s="178">
        <f>ROUND(SUM('DOE25'!F140:J140)-SUM('DOE25'!F117:F119),0)</f>
        <v>515230</v>
      </c>
      <c r="D38" s="181">
        <f t="shared" si="1"/>
        <v>2.1</v>
      </c>
    </row>
    <row r="39" spans="1:4" x14ac:dyDescent="0.2">
      <c r="A39">
        <v>4000</v>
      </c>
      <c r="B39" s="184" t="s">
        <v>734</v>
      </c>
      <c r="C39" s="178">
        <f>ROUND('DOE25'!F169+'DOE25'!G169+'DOE25'!H169+'DOE25'!I169,0)</f>
        <v>1515508</v>
      </c>
      <c r="D39" s="181">
        <f t="shared" si="1"/>
        <v>6.2</v>
      </c>
    </row>
    <row r="40" spans="1:4" x14ac:dyDescent="0.2">
      <c r="A40" s="182" t="s">
        <v>739</v>
      </c>
      <c r="B40" s="184" t="s">
        <v>735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24562236.850000001</v>
      </c>
      <c r="D41" s="183">
        <f>SUM(D35:D40)</f>
        <v>100.1</v>
      </c>
    </row>
    <row r="42" spans="1:4" x14ac:dyDescent="0.2">
      <c r="A42" s="182" t="s">
        <v>741</v>
      </c>
      <c r="B42" s="184" t="s">
        <v>737</v>
      </c>
      <c r="C42" s="178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Q24" sqref="Q2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2"/>
      <c r="K1" s="212"/>
      <c r="L1" s="212"/>
      <c r="M1" s="213"/>
    </row>
    <row r="2" spans="1:26" ht="12.75" x14ac:dyDescent="0.2">
      <c r="A2" s="285" t="s">
        <v>767</v>
      </c>
      <c r="B2" s="286"/>
      <c r="C2" s="286"/>
      <c r="D2" s="286"/>
      <c r="E2" s="286"/>
      <c r="F2" s="291" t="str">
        <f>'DOE25'!A2</f>
        <v>Jaffrey-Rindge Cooperative School District (SAU47)</v>
      </c>
      <c r="G2" s="292"/>
      <c r="H2" s="292"/>
      <c r="I2" s="292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7">
        <v>3</v>
      </c>
      <c r="B4" s="218">
        <v>23</v>
      </c>
      <c r="C4" s="283" t="s">
        <v>916</v>
      </c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3" t="s">
        <v>914</v>
      </c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3" t="s">
        <v>917</v>
      </c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3" t="s">
        <v>915</v>
      </c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0"/>
      <c r="O29" s="210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06"/>
      <c r="AB29" s="206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6"/>
      <c r="AO29" s="206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6"/>
      <c r="BB29" s="206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6"/>
      <c r="BO29" s="206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6"/>
      <c r="CB29" s="206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6"/>
      <c r="CO29" s="206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6"/>
      <c r="DB29" s="206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6"/>
      <c r="DO29" s="206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6"/>
      <c r="EB29" s="206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6"/>
      <c r="EO29" s="206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6"/>
      <c r="FB29" s="206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6"/>
      <c r="FO29" s="206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6"/>
      <c r="GB29" s="206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6"/>
      <c r="GO29" s="206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6"/>
      <c r="HB29" s="206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6"/>
      <c r="HO29" s="206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6"/>
      <c r="IB29" s="206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6"/>
      <c r="IO29" s="206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7"/>
      <c r="B30" s="218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0"/>
      <c r="O30" s="210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06"/>
      <c r="AB30" s="206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6"/>
      <c r="AO30" s="206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6"/>
      <c r="BB30" s="206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6"/>
      <c r="BO30" s="206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6"/>
      <c r="CB30" s="206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6"/>
      <c r="CO30" s="206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6"/>
      <c r="DB30" s="206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6"/>
      <c r="DO30" s="206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6"/>
      <c r="EB30" s="206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6"/>
      <c r="EO30" s="206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6"/>
      <c r="FB30" s="206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6"/>
      <c r="FO30" s="206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6"/>
      <c r="GB30" s="206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6"/>
      <c r="GO30" s="206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6"/>
      <c r="HB30" s="206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6"/>
      <c r="HO30" s="206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6"/>
      <c r="IB30" s="206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6"/>
      <c r="IO30" s="206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7"/>
      <c r="B31" s="218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0"/>
      <c r="O31" s="210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06"/>
      <c r="AB31" s="206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6"/>
      <c r="AO31" s="206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6"/>
      <c r="BB31" s="206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6"/>
      <c r="BO31" s="206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6"/>
      <c r="CB31" s="206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6"/>
      <c r="CO31" s="206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6"/>
      <c r="DB31" s="206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6"/>
      <c r="DO31" s="206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6"/>
      <c r="EB31" s="206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6"/>
      <c r="EO31" s="206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6"/>
      <c r="FB31" s="206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6"/>
      <c r="FO31" s="206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6"/>
      <c r="GB31" s="206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6"/>
      <c r="GO31" s="206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6"/>
      <c r="HB31" s="206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6"/>
      <c r="HO31" s="206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6"/>
      <c r="IB31" s="206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6"/>
      <c r="IO31" s="206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7"/>
      <c r="B32" s="218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2"/>
      <c r="O32" s="222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7"/>
      <c r="AB32" s="218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7"/>
      <c r="AO32" s="218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7"/>
      <c r="BB32" s="218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7"/>
      <c r="BO32" s="218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7"/>
      <c r="CB32" s="218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7"/>
      <c r="CO32" s="218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7"/>
      <c r="DB32" s="218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7"/>
      <c r="DO32" s="218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7"/>
      <c r="EB32" s="218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7"/>
      <c r="EO32" s="218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7"/>
      <c r="FB32" s="218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7"/>
      <c r="FO32" s="218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7"/>
      <c r="GB32" s="218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7"/>
      <c r="GO32" s="218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7"/>
      <c r="HB32" s="218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7"/>
      <c r="HO32" s="218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7"/>
      <c r="IB32" s="218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7"/>
      <c r="IO32" s="218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7"/>
      <c r="B33" s="218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0"/>
      <c r="O38" s="210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06"/>
      <c r="AB38" s="206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6"/>
      <c r="AO38" s="206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6"/>
      <c r="BB38" s="206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6"/>
      <c r="BO38" s="206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6"/>
      <c r="CB38" s="206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6"/>
      <c r="CO38" s="206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6"/>
      <c r="DB38" s="206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6"/>
      <c r="DO38" s="206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6"/>
      <c r="EB38" s="206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6"/>
      <c r="EO38" s="206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6"/>
      <c r="FB38" s="206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6"/>
      <c r="FO38" s="206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6"/>
      <c r="GB38" s="206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6"/>
      <c r="GO38" s="206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6"/>
      <c r="HB38" s="206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6"/>
      <c r="HO38" s="206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6"/>
      <c r="IB38" s="206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6"/>
      <c r="IO38" s="206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7"/>
      <c r="B39" s="218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0"/>
      <c r="O39" s="210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06"/>
      <c r="AB39" s="206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6"/>
      <c r="AO39" s="206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6"/>
      <c r="BB39" s="206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6"/>
      <c r="BO39" s="206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6"/>
      <c r="CB39" s="206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6"/>
      <c r="CO39" s="206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6"/>
      <c r="DB39" s="206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6"/>
      <c r="DO39" s="206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6"/>
      <c r="EB39" s="206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6"/>
      <c r="EO39" s="206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6"/>
      <c r="FB39" s="206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6"/>
      <c r="FO39" s="206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6"/>
      <c r="GB39" s="206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6"/>
      <c r="GO39" s="206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6"/>
      <c r="HB39" s="206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6"/>
      <c r="HO39" s="206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6"/>
      <c r="IB39" s="206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6"/>
      <c r="IO39" s="206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7"/>
      <c r="B40" s="218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0"/>
      <c r="O40" s="210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06"/>
      <c r="AB40" s="206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6"/>
      <c r="AO40" s="206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6"/>
      <c r="BB40" s="206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6"/>
      <c r="BO40" s="206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6"/>
      <c r="CB40" s="206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6"/>
      <c r="CO40" s="206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6"/>
      <c r="DB40" s="206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6"/>
      <c r="DO40" s="206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6"/>
      <c r="EB40" s="206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6"/>
      <c r="EO40" s="206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6"/>
      <c r="FB40" s="206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6"/>
      <c r="FO40" s="206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6"/>
      <c r="GB40" s="206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6"/>
      <c r="GO40" s="206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6"/>
      <c r="HB40" s="206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6"/>
      <c r="HO40" s="206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6"/>
      <c r="IB40" s="206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6"/>
      <c r="IO40" s="206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7"/>
      <c r="B41" s="218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7"/>
      <c r="B60" s="218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7"/>
      <c r="B61" s="218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7"/>
      <c r="B62" s="218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7"/>
      <c r="B63" s="218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7"/>
      <c r="B64" s="218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7"/>
      <c r="B65" s="218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7"/>
      <c r="B66" s="218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7"/>
      <c r="B67" s="218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7"/>
      <c r="B68" s="218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7"/>
      <c r="B69" s="218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19"/>
      <c r="B70" s="220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0"/>
      <c r="B74" s="210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0"/>
      <c r="B75" s="210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0"/>
      <c r="B76" s="210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0"/>
      <c r="B77" s="210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0"/>
      <c r="B78" s="210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0"/>
      <c r="B79" s="210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0"/>
      <c r="B80" s="210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0"/>
      <c r="B81" s="210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0"/>
      <c r="B82" s="210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0"/>
      <c r="B83" s="210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0"/>
      <c r="B84" s="210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0"/>
      <c r="B85" s="210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0"/>
      <c r="B86" s="210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0"/>
      <c r="B87" s="210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0"/>
      <c r="B88" s="210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0"/>
      <c r="B89" s="210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0"/>
      <c r="B90" s="210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A70A" sheet="1" objects="1" scenarios="1"/>
  <mergeCells count="223">
    <mergeCell ref="C61:M61"/>
    <mergeCell ref="C53:M53"/>
    <mergeCell ref="C54:M54"/>
    <mergeCell ref="C55:M55"/>
    <mergeCell ref="C75:M75"/>
    <mergeCell ref="C67:M67"/>
    <mergeCell ref="C68:M68"/>
    <mergeCell ref="C69:M69"/>
    <mergeCell ref="C76:M76"/>
    <mergeCell ref="C66:M66"/>
    <mergeCell ref="C70:M70"/>
    <mergeCell ref="A72:E72"/>
    <mergeCell ref="C73:M73"/>
    <mergeCell ref="C74:M74"/>
    <mergeCell ref="C90:M90"/>
    <mergeCell ref="C83:M83"/>
    <mergeCell ref="C84:M84"/>
    <mergeCell ref="C85:M85"/>
    <mergeCell ref="C86:M86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77:M77"/>
    <mergeCell ref="C78:M78"/>
    <mergeCell ref="C79:M79"/>
    <mergeCell ref="C80:M80"/>
    <mergeCell ref="C81:M81"/>
    <mergeCell ref="C82:M82"/>
    <mergeCell ref="C87:M87"/>
    <mergeCell ref="C88:M88"/>
    <mergeCell ref="C89:M89"/>
    <mergeCell ref="C30:M30"/>
    <mergeCell ref="C31:M31"/>
    <mergeCell ref="C42:M42"/>
    <mergeCell ref="C41:M41"/>
    <mergeCell ref="C33:M33"/>
    <mergeCell ref="C37:M37"/>
    <mergeCell ref="C46:M46"/>
    <mergeCell ref="C44:M44"/>
    <mergeCell ref="C43:M43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39:M39"/>
    <mergeCell ref="C40:M40"/>
    <mergeCell ref="P31:Z31"/>
    <mergeCell ref="AC31:AM31"/>
    <mergeCell ref="AP31:AZ31"/>
    <mergeCell ref="P32:Z32"/>
    <mergeCell ref="C15:M15"/>
    <mergeCell ref="C16:M16"/>
    <mergeCell ref="C17:M17"/>
    <mergeCell ref="C18:M18"/>
    <mergeCell ref="C19:M19"/>
    <mergeCell ref="C20:M20"/>
    <mergeCell ref="P29:Z29"/>
    <mergeCell ref="AC29:AM29"/>
    <mergeCell ref="AC32:AM32"/>
    <mergeCell ref="C21:M21"/>
    <mergeCell ref="C22:M22"/>
    <mergeCell ref="C23:M23"/>
    <mergeCell ref="C24:M24"/>
    <mergeCell ref="C29:M29"/>
    <mergeCell ref="C25:M25"/>
    <mergeCell ref="C26:M26"/>
    <mergeCell ref="C27:M27"/>
    <mergeCell ref="AP29:AZ29"/>
    <mergeCell ref="C28:M28"/>
    <mergeCell ref="C32:M32"/>
    <mergeCell ref="CC30:CM30"/>
    <mergeCell ref="BC30:BM30"/>
    <mergeCell ref="BP30:BZ30"/>
    <mergeCell ref="DC30:DM30"/>
    <mergeCell ref="DP30:DZ30"/>
    <mergeCell ref="CC32:CM32"/>
    <mergeCell ref="DC32:DM32"/>
    <mergeCell ref="DP32:DZ32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A1:I1"/>
    <mergeCell ref="C3:M3"/>
    <mergeCell ref="C4:M4"/>
    <mergeCell ref="F2:I2"/>
    <mergeCell ref="C10:M10"/>
    <mergeCell ref="C11:M11"/>
    <mergeCell ref="C12:M12"/>
    <mergeCell ref="C14:M14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DP29:DZ29"/>
    <mergeCell ref="DC29:DM29"/>
    <mergeCell ref="IP29:IV29"/>
    <mergeCell ref="P30:Z30"/>
    <mergeCell ref="AC30:AM30"/>
    <mergeCell ref="AP30:AZ30"/>
    <mergeCell ref="GC30:GM30"/>
    <mergeCell ref="GP30:GZ30"/>
    <mergeCell ref="EP30:EZ30"/>
    <mergeCell ref="HP29:HZ29"/>
    <mergeCell ref="IC29:IM29"/>
    <mergeCell ref="FP29:FZ29"/>
    <mergeCell ref="GC29:GM29"/>
    <mergeCell ref="GP29:GZ29"/>
    <mergeCell ref="HC29:HM29"/>
    <mergeCell ref="IC30:IM30"/>
    <mergeCell ref="HP30:HZ30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EC30:E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HP31:HZ31"/>
    <mergeCell ref="FC30:FM30"/>
    <mergeCell ref="FP30:FZ30"/>
    <mergeCell ref="FC31:FM31"/>
    <mergeCell ref="FP31:FZ31"/>
    <mergeCell ref="GC31:GM31"/>
    <mergeCell ref="GP31:GZ31"/>
    <mergeCell ref="HC31:HM31"/>
    <mergeCell ref="EC32:EM32"/>
    <mergeCell ref="EP32:EZ32"/>
    <mergeCell ref="FC32:FM32"/>
    <mergeCell ref="AP32:AZ32"/>
    <mergeCell ref="BP32:BZ32"/>
    <mergeCell ref="GC32:GM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HP32:HZ32"/>
    <mergeCell ref="HP38:HZ38"/>
    <mergeCell ref="IC38:IM38"/>
    <mergeCell ref="IP38:IV38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CP38:CZ38"/>
    <mergeCell ref="BC38:BM38"/>
    <mergeCell ref="P39:Z39"/>
    <mergeCell ref="AC39:AM39"/>
    <mergeCell ref="AP39:AZ39"/>
    <mergeCell ref="HP39:HZ39"/>
    <mergeCell ref="IC39:IM39"/>
    <mergeCell ref="DC40:DM40"/>
    <mergeCell ref="EP40:EZ40"/>
    <mergeCell ref="P38:Z38"/>
    <mergeCell ref="AC38:AM38"/>
    <mergeCell ref="AP38:AZ38"/>
    <mergeCell ref="BP39:BZ39"/>
    <mergeCell ref="CC39:CM39"/>
    <mergeCell ref="CP39:CZ39"/>
    <mergeCell ref="BP38:BZ38"/>
    <mergeCell ref="CC38:CM38"/>
    <mergeCell ref="GC40:GM40"/>
    <mergeCell ref="GP40:GZ40"/>
    <mergeCell ref="HC40:HM40"/>
    <mergeCell ref="HP40:HZ40"/>
    <mergeCell ref="EC40:EM40"/>
    <mergeCell ref="DP40:DZ40"/>
    <mergeCell ref="BC40:BM40"/>
    <mergeCell ref="P40:Z40"/>
    <mergeCell ref="AC40:AM40"/>
    <mergeCell ref="IP40:IV40"/>
    <mergeCell ref="C45:M45"/>
    <mergeCell ref="IC40:IM40"/>
    <mergeCell ref="BP40:BZ40"/>
    <mergeCell ref="FC40:FM40"/>
    <mergeCell ref="FP40:FZ40"/>
    <mergeCell ref="CC40:CM40"/>
    <mergeCell ref="CP40:C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2014-09-04T11:14:24Z</cp:lastPrinted>
  <dcterms:created xsi:type="dcterms:W3CDTF">1997-12-04T19:04:30Z</dcterms:created>
  <dcterms:modified xsi:type="dcterms:W3CDTF">2014-12-05T16:18:04Z</dcterms:modified>
</cp:coreProperties>
</file>