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5" i="1" l="1"/>
  <c r="F160" i="1" l="1"/>
  <c r="F13" i="1"/>
  <c r="H13" i="1"/>
  <c r="H360" i="1" l="1"/>
  <c r="H359" i="1"/>
  <c r="H358" i="1"/>
  <c r="G110" i="1"/>
  <c r="F110" i="1" l="1"/>
  <c r="C20" i="12"/>
  <c r="G234" i="1"/>
  <c r="F29" i="1"/>
  <c r="I243" i="1"/>
  <c r="I225" i="1"/>
  <c r="I207" i="1"/>
  <c r="F35" i="1"/>
  <c r="F16" i="1"/>
  <c r="F459" i="1" l="1"/>
  <c r="F497" i="1" l="1"/>
  <c r="J523" i="1" l="1"/>
  <c r="J522" i="1"/>
  <c r="J521" i="1"/>
  <c r="I523" i="1"/>
  <c r="I522" i="1"/>
  <c r="I521" i="1"/>
  <c r="G523" i="1"/>
  <c r="G522" i="1"/>
  <c r="G521" i="1"/>
  <c r="F523" i="1"/>
  <c r="F522" i="1"/>
  <c r="F521" i="1"/>
  <c r="H522" i="1"/>
  <c r="H521" i="1"/>
  <c r="G198" i="1" l="1"/>
  <c r="G216" i="1"/>
  <c r="F2" i="11" l="1"/>
  <c r="C42" i="10"/>
  <c r="C40" i="10"/>
  <c r="C38" i="10"/>
  <c r="C37" i="10"/>
  <c r="C35" i="10"/>
  <c r="C32" i="10"/>
  <c r="C29" i="10"/>
  <c r="C26" i="10"/>
  <c r="C25" i="10"/>
  <c r="C24" i="10"/>
  <c r="C23" i="10"/>
  <c r="C21" i="10"/>
  <c r="C19" i="10"/>
  <c r="C18" i="10"/>
  <c r="C17" i="10"/>
  <c r="C16" i="10"/>
  <c r="C15" i="10"/>
  <c r="C13" i="10"/>
  <c r="C12" i="10"/>
  <c r="C10" i="10"/>
  <c r="B2" i="10"/>
  <c r="F164" i="2"/>
  <c r="E164" i="2"/>
  <c r="F163" i="2"/>
  <c r="E163" i="2"/>
  <c r="D163" i="2"/>
  <c r="C163" i="2"/>
  <c r="G163" i="2" s="1"/>
  <c r="B163" i="2"/>
  <c r="F162" i="2"/>
  <c r="E162" i="2"/>
  <c r="D162" i="2"/>
  <c r="C162" i="2"/>
  <c r="G162" i="2" s="1"/>
  <c r="B162" i="2"/>
  <c r="F161" i="2"/>
  <c r="E161" i="2"/>
  <c r="F160" i="2"/>
  <c r="E160" i="2"/>
  <c r="D160" i="2"/>
  <c r="C160" i="2"/>
  <c r="B160" i="2"/>
  <c r="G160" i="2" s="1"/>
  <c r="F159" i="2"/>
  <c r="E159" i="2"/>
  <c r="D159" i="2"/>
  <c r="F158" i="2"/>
  <c r="E158" i="2"/>
  <c r="D158" i="2"/>
  <c r="C158" i="2"/>
  <c r="B158" i="2"/>
  <c r="G158" i="2" s="1"/>
  <c r="G157" i="2"/>
  <c r="F157" i="2"/>
  <c r="E157" i="2"/>
  <c r="D157" i="2"/>
  <c r="C157" i="2"/>
  <c r="B157" i="2"/>
  <c r="F156" i="2"/>
  <c r="E156" i="2"/>
  <c r="D156" i="2"/>
  <c r="C156" i="2"/>
  <c r="G156" i="2" s="1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G145" i="2"/>
  <c r="G144" i="2"/>
  <c r="E144" i="2"/>
  <c r="D144" i="2"/>
  <c r="E143" i="2"/>
  <c r="C143" i="2"/>
  <c r="E142" i="2"/>
  <c r="C142" i="2"/>
  <c r="C140" i="2"/>
  <c r="C138" i="2"/>
  <c r="E137" i="2"/>
  <c r="C137" i="2"/>
  <c r="C136" i="2"/>
  <c r="E135" i="2"/>
  <c r="C135" i="2"/>
  <c r="G134" i="2"/>
  <c r="F134" i="2"/>
  <c r="E134" i="2"/>
  <c r="D134" i="2"/>
  <c r="E132" i="2"/>
  <c r="C132" i="2"/>
  <c r="E131" i="2"/>
  <c r="C131" i="2"/>
  <c r="F130" i="2"/>
  <c r="F144" i="2" s="1"/>
  <c r="F145" i="2" s="1"/>
  <c r="E130" i="2"/>
  <c r="C130" i="2"/>
  <c r="G128" i="2"/>
  <c r="F128" i="2"/>
  <c r="E128" i="2"/>
  <c r="E125" i="2"/>
  <c r="C125" i="2"/>
  <c r="E124" i="2"/>
  <c r="C124" i="2"/>
  <c r="E123" i="2"/>
  <c r="E122" i="2"/>
  <c r="C122" i="2"/>
  <c r="E121" i="2"/>
  <c r="C121" i="2"/>
  <c r="E120" i="2"/>
  <c r="C120" i="2"/>
  <c r="E119" i="2"/>
  <c r="C119" i="2"/>
  <c r="E118" i="2"/>
  <c r="C118" i="2"/>
  <c r="G115" i="2"/>
  <c r="F115" i="2"/>
  <c r="D115" i="2"/>
  <c r="E114" i="2"/>
  <c r="C114" i="2"/>
  <c r="E113" i="2"/>
  <c r="C113" i="2"/>
  <c r="E112" i="2"/>
  <c r="C112" i="2"/>
  <c r="E111" i="2"/>
  <c r="C111" i="2"/>
  <c r="E109" i="2"/>
  <c r="C109" i="2"/>
  <c r="F104" i="2"/>
  <c r="E104" i="2"/>
  <c r="G103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G98" i="2"/>
  <c r="E98" i="2"/>
  <c r="D98" i="2"/>
  <c r="C98" i="2"/>
  <c r="G97" i="2"/>
  <c r="F97" i="2"/>
  <c r="E97" i="2"/>
  <c r="D97" i="2"/>
  <c r="C97" i="2"/>
  <c r="G96" i="2"/>
  <c r="F96" i="2"/>
  <c r="E96" i="2"/>
  <c r="D96" i="2"/>
  <c r="F94" i="2"/>
  <c r="C94" i="2"/>
  <c r="F93" i="2"/>
  <c r="C93" i="2"/>
  <c r="F91" i="2"/>
  <c r="E91" i="2"/>
  <c r="D91" i="2"/>
  <c r="C90" i="2"/>
  <c r="F89" i="2"/>
  <c r="E89" i="2"/>
  <c r="D89" i="2"/>
  <c r="C89" i="2"/>
  <c r="F88" i="2"/>
  <c r="E88" i="2"/>
  <c r="D88" i="2"/>
  <c r="C88" i="2"/>
  <c r="C91" i="2" s="1"/>
  <c r="F87" i="2"/>
  <c r="E87" i="2"/>
  <c r="C87" i="2"/>
  <c r="F85" i="2"/>
  <c r="E85" i="2"/>
  <c r="D85" i="2"/>
  <c r="C85" i="2"/>
  <c r="G81" i="2"/>
  <c r="F81" i="2"/>
  <c r="E81" i="2"/>
  <c r="D81" i="2"/>
  <c r="C81" i="2"/>
  <c r="E80" i="2"/>
  <c r="C80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F76" i="2"/>
  <c r="E76" i="2"/>
  <c r="C76" i="2"/>
  <c r="C75" i="2"/>
  <c r="C74" i="2"/>
  <c r="F73" i="2"/>
  <c r="C73" i="2"/>
  <c r="F72" i="2"/>
  <c r="C72" i="2"/>
  <c r="G70" i="2"/>
  <c r="F70" i="2"/>
  <c r="E70" i="2"/>
  <c r="D70" i="2"/>
  <c r="C70" i="2"/>
  <c r="G69" i="2"/>
  <c r="F69" i="2"/>
  <c r="E69" i="2"/>
  <c r="D69" i="2"/>
  <c r="C69" i="2"/>
  <c r="C68" i="2"/>
  <c r="C67" i="2"/>
  <c r="C66" i="2"/>
  <c r="F63" i="2"/>
  <c r="E63" i="2"/>
  <c r="G62" i="2"/>
  <c r="G63" i="2" s="1"/>
  <c r="G104" i="2" s="1"/>
  <c r="F62" i="2"/>
  <c r="E62" i="2"/>
  <c r="G61" i="2"/>
  <c r="F61" i="2"/>
  <c r="E61" i="2"/>
  <c r="D61" i="2"/>
  <c r="D62" i="2" s="1"/>
  <c r="D63" i="2" s="1"/>
  <c r="D104" i="2" s="1"/>
  <c r="C61" i="2"/>
  <c r="D60" i="2"/>
  <c r="G59" i="2"/>
  <c r="F59" i="2"/>
  <c r="E59" i="2"/>
  <c r="D59" i="2"/>
  <c r="C59" i="2"/>
  <c r="E58" i="2"/>
  <c r="C58" i="2"/>
  <c r="E57" i="2"/>
  <c r="C57" i="2"/>
  <c r="G56" i="2"/>
  <c r="F56" i="2"/>
  <c r="E56" i="2"/>
  <c r="D56" i="2"/>
  <c r="C56" i="2"/>
  <c r="F51" i="2"/>
  <c r="D51" i="2"/>
  <c r="F50" i="2"/>
  <c r="E50" i="2"/>
  <c r="E51" i="2" s="1"/>
  <c r="D50" i="2"/>
  <c r="C49" i="2"/>
  <c r="G48" i="2"/>
  <c r="F48" i="2"/>
  <c r="E48" i="2"/>
  <c r="D48" i="2"/>
  <c r="C48" i="2"/>
  <c r="F47" i="2"/>
  <c r="E47" i="2"/>
  <c r="D47" i="2"/>
  <c r="C47" i="2"/>
  <c r="C45" i="2"/>
  <c r="G44" i="2"/>
  <c r="F44" i="2"/>
  <c r="E44" i="2"/>
  <c r="D44" i="2"/>
  <c r="C44" i="2"/>
  <c r="F43" i="2"/>
  <c r="E43" i="2"/>
  <c r="D43" i="2"/>
  <c r="C43" i="2"/>
  <c r="G42" i="2"/>
  <c r="F42" i="2"/>
  <c r="E42" i="2"/>
  <c r="D42" i="2"/>
  <c r="C42" i="2"/>
  <c r="F40" i="2"/>
  <c r="D39" i="2"/>
  <c r="G38" i="2"/>
  <c r="F38" i="2"/>
  <c r="E38" i="2"/>
  <c r="D38" i="2"/>
  <c r="C38" i="2"/>
  <c r="G36" i="2"/>
  <c r="F36" i="2"/>
  <c r="E36" i="2"/>
  <c r="D36" i="2"/>
  <c r="C36" i="2"/>
  <c r="F35" i="2"/>
  <c r="E35" i="2"/>
  <c r="D35" i="2"/>
  <c r="C35" i="2"/>
  <c r="F34" i="2"/>
  <c r="E34" i="2"/>
  <c r="D34" i="2"/>
  <c r="C34" i="2"/>
  <c r="C50" i="2" s="1"/>
  <c r="G31" i="2"/>
  <c r="F31" i="2"/>
  <c r="E31" i="2"/>
  <c r="D31" i="2"/>
  <c r="G30" i="2"/>
  <c r="F30" i="2"/>
  <c r="E30" i="2"/>
  <c r="D30" i="2"/>
  <c r="C30" i="2"/>
  <c r="F29" i="2"/>
  <c r="E29" i="2"/>
  <c r="D29" i="2"/>
  <c r="C29" i="2"/>
  <c r="F28" i="2"/>
  <c r="E28" i="2"/>
  <c r="D28" i="2"/>
  <c r="C28" i="2"/>
  <c r="C31" i="2" s="1"/>
  <c r="F27" i="2"/>
  <c r="E27" i="2"/>
  <c r="D27" i="2"/>
  <c r="C27" i="2"/>
  <c r="F26" i="2"/>
  <c r="C26" i="2"/>
  <c r="F25" i="2"/>
  <c r="C25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F18" i="2"/>
  <c r="D18" i="2"/>
  <c r="G17" i="2"/>
  <c r="F17" i="2"/>
  <c r="E17" i="2"/>
  <c r="D17" i="2"/>
  <c r="C17" i="2"/>
  <c r="G16" i="2"/>
  <c r="F16" i="2"/>
  <c r="E16" i="2"/>
  <c r="D16" i="2"/>
  <c r="C16" i="2"/>
  <c r="F15" i="2"/>
  <c r="E15" i="2"/>
  <c r="D15" i="2"/>
  <c r="C15" i="2"/>
  <c r="C18" i="2" s="1"/>
  <c r="F14" i="2"/>
  <c r="G13" i="2"/>
  <c r="F13" i="2"/>
  <c r="E13" i="2"/>
  <c r="D13" i="2"/>
  <c r="C13" i="2"/>
  <c r="G12" i="2"/>
  <c r="F12" i="2"/>
  <c r="E12" i="2"/>
  <c r="E18" i="2" s="1"/>
  <c r="D12" i="2"/>
  <c r="C12" i="2"/>
  <c r="G11" i="2"/>
  <c r="F11" i="2"/>
  <c r="E11" i="2"/>
  <c r="D11" i="2"/>
  <c r="C11" i="2"/>
  <c r="C10" i="2"/>
  <c r="F9" i="2"/>
  <c r="E9" i="2"/>
  <c r="D9" i="2"/>
  <c r="C9" i="2"/>
  <c r="G8" i="2"/>
  <c r="F8" i="2"/>
  <c r="E8" i="2"/>
  <c r="D8" i="2"/>
  <c r="C8" i="2"/>
  <c r="A2" i="2"/>
  <c r="A1" i="2"/>
  <c r="D39" i="13"/>
  <c r="H33" i="13"/>
  <c r="G33" i="13"/>
  <c r="F33" i="13"/>
  <c r="G31" i="13"/>
  <c r="F31" i="13"/>
  <c r="G29" i="13"/>
  <c r="F29" i="13"/>
  <c r="H25" i="13"/>
  <c r="C25" i="13"/>
  <c r="F22" i="13"/>
  <c r="C22" i="13"/>
  <c r="G19" i="13"/>
  <c r="F19" i="13"/>
  <c r="D19" i="13"/>
  <c r="C19" i="13"/>
  <c r="G18" i="13"/>
  <c r="F18" i="13"/>
  <c r="D18" i="13"/>
  <c r="C18" i="13"/>
  <c r="G17" i="13"/>
  <c r="F17" i="13"/>
  <c r="D17" i="13"/>
  <c r="C17" i="13"/>
  <c r="G16" i="13"/>
  <c r="F16" i="13"/>
  <c r="E16" i="13"/>
  <c r="C16" i="13"/>
  <c r="G15" i="13"/>
  <c r="F15" i="13"/>
  <c r="D15" i="13"/>
  <c r="C15" i="13"/>
  <c r="G14" i="13"/>
  <c r="F14" i="13"/>
  <c r="G13" i="13"/>
  <c r="F13" i="13"/>
  <c r="E13" i="13"/>
  <c r="C13" i="13"/>
  <c r="G12" i="13"/>
  <c r="F12" i="13"/>
  <c r="D12" i="13"/>
  <c r="C12" i="13"/>
  <c r="C11" i="13"/>
  <c r="C10" i="13"/>
  <c r="C9" i="13"/>
  <c r="G8" i="13"/>
  <c r="F8" i="13"/>
  <c r="E8" i="13"/>
  <c r="E33" i="13" s="1"/>
  <c r="D35" i="13" s="1"/>
  <c r="G7" i="13"/>
  <c r="F7" i="13"/>
  <c r="D7" i="13"/>
  <c r="C7" i="13"/>
  <c r="G6" i="13"/>
  <c r="F6" i="13"/>
  <c r="D6" i="13"/>
  <c r="C6" i="13"/>
  <c r="G5" i="13"/>
  <c r="F5" i="13"/>
  <c r="B2" i="13"/>
  <c r="C40" i="12"/>
  <c r="A40" i="12" s="1"/>
  <c r="B40" i="12"/>
  <c r="C36" i="12"/>
  <c r="B36" i="12"/>
  <c r="C31" i="12"/>
  <c r="B31" i="12"/>
  <c r="A31" i="12"/>
  <c r="C27" i="12"/>
  <c r="B27" i="12"/>
  <c r="C22" i="12"/>
  <c r="B22" i="12"/>
  <c r="C18" i="12"/>
  <c r="B18" i="12"/>
  <c r="C13" i="12"/>
  <c r="B13" i="12"/>
  <c r="A13" i="12" s="1"/>
  <c r="C9" i="12"/>
  <c r="B9" i="12"/>
  <c r="B4" i="12"/>
  <c r="B1" i="12"/>
  <c r="I670" i="1"/>
  <c r="I669" i="1"/>
  <c r="I665" i="1"/>
  <c r="I662" i="1"/>
  <c r="H662" i="1"/>
  <c r="G662" i="1"/>
  <c r="F662" i="1"/>
  <c r="J655" i="1"/>
  <c r="H655" i="1"/>
  <c r="G655" i="1"/>
  <c r="J654" i="1"/>
  <c r="H654" i="1"/>
  <c r="G654" i="1"/>
  <c r="J653" i="1"/>
  <c r="H653" i="1"/>
  <c r="G653" i="1"/>
  <c r="J652" i="1"/>
  <c r="H652" i="1"/>
  <c r="G652" i="1"/>
  <c r="G651" i="1"/>
  <c r="G650" i="1"/>
  <c r="G649" i="1"/>
  <c r="J648" i="1"/>
  <c r="H648" i="1"/>
  <c r="G648" i="1"/>
  <c r="H647" i="1"/>
  <c r="J645" i="1"/>
  <c r="H645" i="1"/>
  <c r="G645" i="1"/>
  <c r="G644" i="1"/>
  <c r="J643" i="1"/>
  <c r="H643" i="1"/>
  <c r="G643" i="1"/>
  <c r="J641" i="1"/>
  <c r="H641" i="1"/>
  <c r="G641" i="1"/>
  <c r="J640" i="1"/>
  <c r="H640" i="1"/>
  <c r="G640" i="1"/>
  <c r="J638" i="1"/>
  <c r="H638" i="1"/>
  <c r="G638" i="1"/>
  <c r="J636" i="1"/>
  <c r="H636" i="1"/>
  <c r="G636" i="1"/>
  <c r="J634" i="1"/>
  <c r="H634" i="1"/>
  <c r="G634" i="1"/>
  <c r="J630" i="1"/>
  <c r="H630" i="1"/>
  <c r="G630" i="1"/>
  <c r="J629" i="1"/>
  <c r="H629" i="1"/>
  <c r="G629" i="1"/>
  <c r="J625" i="1"/>
  <c r="H625" i="1"/>
  <c r="G625" i="1"/>
  <c r="G623" i="1"/>
  <c r="J620" i="1"/>
  <c r="H620" i="1"/>
  <c r="G620" i="1"/>
  <c r="J618" i="1"/>
  <c r="H618" i="1"/>
  <c r="G618" i="1"/>
  <c r="K614" i="1"/>
  <c r="J614" i="1"/>
  <c r="I614" i="1"/>
  <c r="H614" i="1"/>
  <c r="G614" i="1"/>
  <c r="F614" i="1"/>
  <c r="L613" i="1"/>
  <c r="H663" i="1" s="1"/>
  <c r="L612" i="1"/>
  <c r="G663" i="1" s="1"/>
  <c r="L611" i="1"/>
  <c r="L614" i="1" s="1"/>
  <c r="K605" i="1"/>
  <c r="J605" i="1"/>
  <c r="I605" i="1"/>
  <c r="H605" i="1"/>
  <c r="K604" i="1"/>
  <c r="J604" i="1"/>
  <c r="I604" i="1"/>
  <c r="H604" i="1"/>
  <c r="K603" i="1"/>
  <c r="K602" i="1"/>
  <c r="J598" i="1"/>
  <c r="H651" i="1" s="1"/>
  <c r="J651" i="1" s="1"/>
  <c r="I598" i="1"/>
  <c r="H650" i="1" s="1"/>
  <c r="J650" i="1" s="1"/>
  <c r="H598" i="1"/>
  <c r="H649" i="1" s="1"/>
  <c r="J649" i="1" s="1"/>
  <c r="K597" i="1"/>
  <c r="K596" i="1"/>
  <c r="K595" i="1"/>
  <c r="K594" i="1"/>
  <c r="K593" i="1"/>
  <c r="K592" i="1"/>
  <c r="K591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K571" i="1"/>
  <c r="J571" i="1"/>
  <c r="K570" i="1"/>
  <c r="J570" i="1"/>
  <c r="I570" i="1"/>
  <c r="I571" i="1" s="1"/>
  <c r="H570" i="1"/>
  <c r="H571" i="1" s="1"/>
  <c r="G570" i="1"/>
  <c r="G571" i="1" s="1"/>
  <c r="F570" i="1"/>
  <c r="F571" i="1" s="1"/>
  <c r="L569" i="1"/>
  <c r="L568" i="1"/>
  <c r="L567" i="1"/>
  <c r="L565" i="1"/>
  <c r="K565" i="1"/>
  <c r="J565" i="1"/>
  <c r="I565" i="1"/>
  <c r="H565" i="1"/>
  <c r="G565" i="1"/>
  <c r="F565" i="1"/>
  <c r="L564" i="1"/>
  <c r="L563" i="1"/>
  <c r="L562" i="1"/>
  <c r="L560" i="1"/>
  <c r="K560" i="1"/>
  <c r="J560" i="1"/>
  <c r="I560" i="1"/>
  <c r="H560" i="1"/>
  <c r="G560" i="1"/>
  <c r="F560" i="1"/>
  <c r="L559" i="1"/>
  <c r="L558" i="1"/>
  <c r="L557" i="1"/>
  <c r="I552" i="1"/>
  <c r="I551" i="1"/>
  <c r="I550" i="1"/>
  <c r="I549" i="1"/>
  <c r="H549" i="1"/>
  <c r="K545" i="1"/>
  <c r="K544" i="1"/>
  <c r="J544" i="1"/>
  <c r="I544" i="1"/>
  <c r="G544" i="1"/>
  <c r="F544" i="1"/>
  <c r="L543" i="1"/>
  <c r="J551" i="1" s="1"/>
  <c r="H543" i="1"/>
  <c r="H542" i="1"/>
  <c r="L542" i="1" s="1"/>
  <c r="J550" i="1" s="1"/>
  <c r="H541" i="1"/>
  <c r="H544" i="1" s="1"/>
  <c r="L539" i="1"/>
  <c r="K539" i="1"/>
  <c r="J539" i="1"/>
  <c r="I539" i="1"/>
  <c r="H539" i="1"/>
  <c r="G539" i="1"/>
  <c r="F539" i="1"/>
  <c r="L538" i="1"/>
  <c r="L537" i="1"/>
  <c r="L536" i="1"/>
  <c r="K534" i="1"/>
  <c r="J534" i="1"/>
  <c r="I534" i="1"/>
  <c r="H534" i="1"/>
  <c r="G534" i="1"/>
  <c r="F534" i="1"/>
  <c r="L533" i="1"/>
  <c r="H551" i="1" s="1"/>
  <c r="L532" i="1"/>
  <c r="H550" i="1" s="1"/>
  <c r="L531" i="1"/>
  <c r="L534" i="1" s="1"/>
  <c r="K529" i="1"/>
  <c r="J529" i="1"/>
  <c r="I529" i="1"/>
  <c r="H529" i="1"/>
  <c r="G529" i="1"/>
  <c r="F529" i="1"/>
  <c r="L528" i="1"/>
  <c r="G551" i="1" s="1"/>
  <c r="L527" i="1"/>
  <c r="G550" i="1" s="1"/>
  <c r="L526" i="1"/>
  <c r="K524" i="1"/>
  <c r="J524" i="1"/>
  <c r="J545" i="1" s="1"/>
  <c r="I524" i="1"/>
  <c r="H524" i="1"/>
  <c r="F524" i="1"/>
  <c r="L523" i="1"/>
  <c r="K523" i="1"/>
  <c r="H523" i="1"/>
  <c r="K522" i="1"/>
  <c r="L522" i="1"/>
  <c r="F550" i="1" s="1"/>
  <c r="K521" i="1"/>
  <c r="L521" i="1"/>
  <c r="F549" i="1" s="1"/>
  <c r="I517" i="1"/>
  <c r="H517" i="1"/>
  <c r="G517" i="1"/>
  <c r="F517" i="1"/>
  <c r="J503" i="1"/>
  <c r="I503" i="1"/>
  <c r="H503" i="1"/>
  <c r="D164" i="2" s="1"/>
  <c r="G503" i="1"/>
  <c r="C164" i="2" s="1"/>
  <c r="F503" i="1"/>
  <c r="B164" i="2" s="1"/>
  <c r="K502" i="1"/>
  <c r="K501" i="1"/>
  <c r="J500" i="1"/>
  <c r="I500" i="1"/>
  <c r="H500" i="1"/>
  <c r="D161" i="2" s="1"/>
  <c r="G500" i="1"/>
  <c r="C161" i="2" s="1"/>
  <c r="K499" i="1"/>
  <c r="H498" i="1"/>
  <c r="G498" i="1"/>
  <c r="C159" i="2" s="1"/>
  <c r="F498" i="1"/>
  <c r="K498" i="1" s="1"/>
  <c r="K497" i="1"/>
  <c r="K496" i="1"/>
  <c r="K495" i="1"/>
  <c r="I476" i="1"/>
  <c r="J474" i="1"/>
  <c r="I474" i="1"/>
  <c r="I472" i="1"/>
  <c r="I470" i="1"/>
  <c r="H470" i="1"/>
  <c r="I468" i="1"/>
  <c r="H468" i="1"/>
  <c r="I465" i="1"/>
  <c r="H461" i="1"/>
  <c r="G461" i="1"/>
  <c r="H460" i="1"/>
  <c r="G460" i="1"/>
  <c r="F460" i="1"/>
  <c r="F461" i="1" s="1"/>
  <c r="H639" i="1" s="1"/>
  <c r="I459" i="1"/>
  <c r="J48" i="1" s="1"/>
  <c r="I458" i="1"/>
  <c r="I457" i="1"/>
  <c r="I456" i="1"/>
  <c r="I455" i="1"/>
  <c r="I454" i="1"/>
  <c r="I452" i="1"/>
  <c r="H452" i="1"/>
  <c r="G452" i="1"/>
  <c r="F452" i="1"/>
  <c r="I451" i="1"/>
  <c r="I450" i="1"/>
  <c r="I449" i="1"/>
  <c r="I448" i="1"/>
  <c r="H446" i="1"/>
  <c r="G446" i="1"/>
  <c r="F446" i="1"/>
  <c r="G639" i="1" s="1"/>
  <c r="I445" i="1"/>
  <c r="I444" i="1"/>
  <c r="I443" i="1"/>
  <c r="I442" i="1"/>
  <c r="I441" i="1"/>
  <c r="I440" i="1"/>
  <c r="I446" i="1" s="1"/>
  <c r="G642" i="1" s="1"/>
  <c r="I439" i="1"/>
  <c r="L434" i="1"/>
  <c r="K434" i="1"/>
  <c r="J434" i="1"/>
  <c r="I434" i="1"/>
  <c r="H434" i="1"/>
  <c r="G434" i="1"/>
  <c r="F434" i="1"/>
  <c r="L433" i="1"/>
  <c r="K433" i="1"/>
  <c r="J433" i="1"/>
  <c r="I433" i="1"/>
  <c r="H433" i="1"/>
  <c r="G433" i="1"/>
  <c r="F433" i="1"/>
  <c r="L432" i="1"/>
  <c r="L431" i="1"/>
  <c r="L430" i="1"/>
  <c r="L429" i="1"/>
  <c r="L427" i="1"/>
  <c r="K427" i="1"/>
  <c r="J427" i="1"/>
  <c r="I427" i="1"/>
  <c r="H427" i="1"/>
  <c r="G427" i="1"/>
  <c r="F427" i="1"/>
  <c r="L426" i="1"/>
  <c r="L425" i="1"/>
  <c r="L424" i="1"/>
  <c r="L423" i="1"/>
  <c r="L422" i="1"/>
  <c r="L421" i="1"/>
  <c r="L419" i="1"/>
  <c r="K419" i="1"/>
  <c r="J419" i="1"/>
  <c r="I419" i="1"/>
  <c r="H419" i="1"/>
  <c r="G419" i="1"/>
  <c r="F419" i="1"/>
  <c r="L418" i="1"/>
  <c r="L417" i="1"/>
  <c r="L416" i="1"/>
  <c r="L415" i="1"/>
  <c r="L414" i="1"/>
  <c r="L413" i="1"/>
  <c r="I408" i="1"/>
  <c r="H408" i="1"/>
  <c r="H644" i="1" s="1"/>
  <c r="J644" i="1" s="1"/>
  <c r="G408" i="1"/>
  <c r="F408" i="1"/>
  <c r="L407" i="1"/>
  <c r="I407" i="1"/>
  <c r="H407" i="1"/>
  <c r="G407" i="1"/>
  <c r="F407" i="1"/>
  <c r="L406" i="1"/>
  <c r="L405" i="1"/>
  <c r="L404" i="1"/>
  <c r="L403" i="1"/>
  <c r="I401" i="1"/>
  <c r="H401" i="1"/>
  <c r="G401" i="1"/>
  <c r="F401" i="1"/>
  <c r="L400" i="1"/>
  <c r="L399" i="1"/>
  <c r="L398" i="1"/>
  <c r="L397" i="1"/>
  <c r="L396" i="1"/>
  <c r="L395" i="1"/>
  <c r="L393" i="1"/>
  <c r="I393" i="1"/>
  <c r="H393" i="1"/>
  <c r="G393" i="1"/>
  <c r="F393" i="1"/>
  <c r="L392" i="1"/>
  <c r="L391" i="1"/>
  <c r="L390" i="1"/>
  <c r="L389" i="1"/>
  <c r="L388" i="1"/>
  <c r="L387" i="1"/>
  <c r="L382" i="1"/>
  <c r="K382" i="1"/>
  <c r="J382" i="1"/>
  <c r="I382" i="1"/>
  <c r="H382" i="1"/>
  <c r="G382" i="1"/>
  <c r="F382" i="1"/>
  <c r="L381" i="1"/>
  <c r="L380" i="1"/>
  <c r="L379" i="1"/>
  <c r="L378" i="1"/>
  <c r="L377" i="1"/>
  <c r="L376" i="1"/>
  <c r="L375" i="1"/>
  <c r="L374" i="1"/>
  <c r="I369" i="1"/>
  <c r="H369" i="1"/>
  <c r="G369" i="1"/>
  <c r="F369" i="1"/>
  <c r="I368" i="1"/>
  <c r="I367" i="1"/>
  <c r="K362" i="1"/>
  <c r="J362" i="1"/>
  <c r="I362" i="1"/>
  <c r="H362" i="1"/>
  <c r="G362" i="1"/>
  <c r="F362" i="1"/>
  <c r="L361" i="1"/>
  <c r="L360" i="1"/>
  <c r="G661" i="1" s="1"/>
  <c r="L359" i="1"/>
  <c r="D29" i="13" s="1"/>
  <c r="C29" i="13" s="1"/>
  <c r="L358" i="1"/>
  <c r="K352" i="1"/>
  <c r="J352" i="1"/>
  <c r="I352" i="1"/>
  <c r="H352" i="1"/>
  <c r="F352" i="1"/>
  <c r="L351" i="1"/>
  <c r="K351" i="1"/>
  <c r="L350" i="1"/>
  <c r="L349" i="1"/>
  <c r="L347" i="1"/>
  <c r="L346" i="1"/>
  <c r="L345" i="1"/>
  <c r="L344" i="1"/>
  <c r="L342" i="1"/>
  <c r="L341" i="1"/>
  <c r="K338" i="1"/>
  <c r="J338" i="1"/>
  <c r="I338" i="1"/>
  <c r="H338" i="1"/>
  <c r="F338" i="1"/>
  <c r="L337" i="1"/>
  <c r="K337" i="1"/>
  <c r="J337" i="1"/>
  <c r="I337" i="1"/>
  <c r="H337" i="1"/>
  <c r="G337" i="1"/>
  <c r="F337" i="1"/>
  <c r="L336" i="1"/>
  <c r="L335" i="1"/>
  <c r="L334" i="1"/>
  <c r="L333" i="1"/>
  <c r="L332" i="1"/>
  <c r="K328" i="1"/>
  <c r="J328" i="1"/>
  <c r="I328" i="1"/>
  <c r="H328" i="1"/>
  <c r="G328" i="1"/>
  <c r="G338" i="1" s="1"/>
  <c r="G352" i="1" s="1"/>
  <c r="F328" i="1"/>
  <c r="L326" i="1"/>
  <c r="L325" i="1"/>
  <c r="L324" i="1"/>
  <c r="L323" i="1"/>
  <c r="L322" i="1"/>
  <c r="L321" i="1"/>
  <c r="L320" i="1"/>
  <c r="L319" i="1"/>
  <c r="L317" i="1"/>
  <c r="L316" i="1"/>
  <c r="L315" i="1"/>
  <c r="L314" i="1"/>
  <c r="L309" i="1"/>
  <c r="K309" i="1"/>
  <c r="J309" i="1"/>
  <c r="I309" i="1"/>
  <c r="H309" i="1"/>
  <c r="G309" i="1"/>
  <c r="F309" i="1"/>
  <c r="L307" i="1"/>
  <c r="L306" i="1"/>
  <c r="L305" i="1"/>
  <c r="L304" i="1"/>
  <c r="L303" i="1"/>
  <c r="L302" i="1"/>
  <c r="L301" i="1"/>
  <c r="L300" i="1"/>
  <c r="L298" i="1"/>
  <c r="L297" i="1"/>
  <c r="L296" i="1"/>
  <c r="L295" i="1"/>
  <c r="L290" i="1"/>
  <c r="K290" i="1"/>
  <c r="J290" i="1"/>
  <c r="I290" i="1"/>
  <c r="H290" i="1"/>
  <c r="G290" i="1"/>
  <c r="F290" i="1"/>
  <c r="L288" i="1"/>
  <c r="L287" i="1"/>
  <c r="L286" i="1"/>
  <c r="L285" i="1"/>
  <c r="L284" i="1"/>
  <c r="L283" i="1"/>
  <c r="L282" i="1"/>
  <c r="L281" i="1"/>
  <c r="L279" i="1"/>
  <c r="L278" i="1"/>
  <c r="L277" i="1"/>
  <c r="L276" i="1"/>
  <c r="K271" i="1"/>
  <c r="J271" i="1"/>
  <c r="H271" i="1"/>
  <c r="F271" i="1"/>
  <c r="L270" i="1"/>
  <c r="K270" i="1"/>
  <c r="J270" i="1"/>
  <c r="I270" i="1"/>
  <c r="H270" i="1"/>
  <c r="G270" i="1"/>
  <c r="F270" i="1"/>
  <c r="L269" i="1"/>
  <c r="L268" i="1"/>
  <c r="L266" i="1"/>
  <c r="L265" i="1"/>
  <c r="L264" i="1"/>
  <c r="L263" i="1"/>
  <c r="L261" i="1"/>
  <c r="L260" i="1"/>
  <c r="K257" i="1"/>
  <c r="J257" i="1"/>
  <c r="H257" i="1"/>
  <c r="F257" i="1"/>
  <c r="L256" i="1"/>
  <c r="K256" i="1"/>
  <c r="J256" i="1"/>
  <c r="I256" i="1"/>
  <c r="H256" i="1"/>
  <c r="G256" i="1"/>
  <c r="F256" i="1"/>
  <c r="L255" i="1"/>
  <c r="L254" i="1"/>
  <c r="L253" i="1"/>
  <c r="L252" i="1"/>
  <c r="L251" i="1"/>
  <c r="L250" i="1"/>
  <c r="K247" i="1"/>
  <c r="J247" i="1"/>
  <c r="I247" i="1"/>
  <c r="H247" i="1"/>
  <c r="G247" i="1"/>
  <c r="F247" i="1"/>
  <c r="L245" i="1"/>
  <c r="L244" i="1"/>
  <c r="L243" i="1"/>
  <c r="L242" i="1"/>
  <c r="L241" i="1"/>
  <c r="L240" i="1"/>
  <c r="L239" i="1"/>
  <c r="L238" i="1"/>
  <c r="L236" i="1"/>
  <c r="L235" i="1"/>
  <c r="L234" i="1"/>
  <c r="L247" i="1" s="1"/>
  <c r="L233" i="1"/>
  <c r="K229" i="1"/>
  <c r="J229" i="1"/>
  <c r="I229" i="1"/>
  <c r="H229" i="1"/>
  <c r="G229" i="1"/>
  <c r="F229" i="1"/>
  <c r="L227" i="1"/>
  <c r="L226" i="1"/>
  <c r="L225" i="1"/>
  <c r="L229" i="1" s="1"/>
  <c r="G660" i="1" s="1"/>
  <c r="L224" i="1"/>
  <c r="L223" i="1"/>
  <c r="L222" i="1"/>
  <c r="L221" i="1"/>
  <c r="L220" i="1"/>
  <c r="L218" i="1"/>
  <c r="L217" i="1"/>
  <c r="L216" i="1"/>
  <c r="L215" i="1"/>
  <c r="K211" i="1"/>
  <c r="J211" i="1"/>
  <c r="I211" i="1"/>
  <c r="I257" i="1" s="1"/>
  <c r="I271" i="1" s="1"/>
  <c r="H211" i="1"/>
  <c r="G211" i="1"/>
  <c r="F211" i="1"/>
  <c r="L209" i="1"/>
  <c r="L208" i="1"/>
  <c r="L207" i="1"/>
  <c r="L211" i="1" s="1"/>
  <c r="F660" i="1" s="1"/>
  <c r="L206" i="1"/>
  <c r="L205" i="1"/>
  <c r="L204" i="1"/>
  <c r="L203" i="1"/>
  <c r="L202" i="1"/>
  <c r="L200" i="1"/>
  <c r="L199" i="1"/>
  <c r="L198" i="1"/>
  <c r="L197" i="1"/>
  <c r="I193" i="1"/>
  <c r="H193" i="1"/>
  <c r="J192" i="1"/>
  <c r="I192" i="1"/>
  <c r="H192" i="1"/>
  <c r="G192" i="1"/>
  <c r="F192" i="1"/>
  <c r="I188" i="1"/>
  <c r="H188" i="1"/>
  <c r="G188" i="1"/>
  <c r="F188" i="1"/>
  <c r="J183" i="1"/>
  <c r="I183" i="1"/>
  <c r="H183" i="1"/>
  <c r="G183" i="1"/>
  <c r="F183" i="1"/>
  <c r="I177" i="1"/>
  <c r="F177" i="1"/>
  <c r="I169" i="1"/>
  <c r="H169" i="1"/>
  <c r="G169" i="1"/>
  <c r="I162" i="1"/>
  <c r="H162" i="1"/>
  <c r="G162" i="1"/>
  <c r="F162" i="1"/>
  <c r="F169" i="1" s="1"/>
  <c r="C39" i="10" s="1"/>
  <c r="I147" i="1"/>
  <c r="H147" i="1"/>
  <c r="G147" i="1"/>
  <c r="F147" i="1"/>
  <c r="J140" i="1"/>
  <c r="I140" i="1"/>
  <c r="H140" i="1"/>
  <c r="G140" i="1"/>
  <c r="F140" i="1"/>
  <c r="J136" i="1"/>
  <c r="I136" i="1"/>
  <c r="H136" i="1"/>
  <c r="G136" i="1"/>
  <c r="F136" i="1"/>
  <c r="J121" i="1"/>
  <c r="I121" i="1"/>
  <c r="H121" i="1"/>
  <c r="G121" i="1"/>
  <c r="F121" i="1"/>
  <c r="I112" i="1"/>
  <c r="H112" i="1"/>
  <c r="J111" i="1"/>
  <c r="J112" i="1" s="1"/>
  <c r="I111" i="1"/>
  <c r="H111" i="1"/>
  <c r="G111" i="1"/>
  <c r="G112" i="1" s="1"/>
  <c r="G193" i="1" s="1"/>
  <c r="F111" i="1"/>
  <c r="H94" i="1"/>
  <c r="F94" i="1"/>
  <c r="H79" i="1"/>
  <c r="F79" i="1"/>
  <c r="J60" i="1"/>
  <c r="I60" i="1"/>
  <c r="H60" i="1"/>
  <c r="G60" i="1"/>
  <c r="F60" i="1"/>
  <c r="I52" i="1"/>
  <c r="G52" i="1"/>
  <c r="I51" i="1"/>
  <c r="H51" i="1"/>
  <c r="G624" i="1" s="1"/>
  <c r="G51" i="1"/>
  <c r="F51" i="1"/>
  <c r="J49" i="1"/>
  <c r="I48" i="1"/>
  <c r="J45" i="1"/>
  <c r="J43" i="1"/>
  <c r="J39" i="1"/>
  <c r="J37" i="1"/>
  <c r="J32" i="1"/>
  <c r="I32" i="1"/>
  <c r="H32" i="1"/>
  <c r="G32" i="1"/>
  <c r="F32" i="1"/>
  <c r="J31" i="1"/>
  <c r="H30" i="1"/>
  <c r="F30" i="1"/>
  <c r="H28" i="1"/>
  <c r="F28" i="1"/>
  <c r="J24" i="1"/>
  <c r="H24" i="1"/>
  <c r="F24" i="1"/>
  <c r="J23" i="1"/>
  <c r="J22" i="1"/>
  <c r="H22" i="1"/>
  <c r="F22" i="1"/>
  <c r="J19" i="1"/>
  <c r="G621" i="1" s="1"/>
  <c r="I19" i="1"/>
  <c r="H19" i="1"/>
  <c r="G619" i="1" s="1"/>
  <c r="G19" i="1"/>
  <c r="F19" i="1"/>
  <c r="G617" i="1" s="1"/>
  <c r="J18" i="1"/>
  <c r="J17" i="1"/>
  <c r="J14" i="1"/>
  <c r="F14" i="1"/>
  <c r="J13" i="1"/>
  <c r="J12" i="1"/>
  <c r="H12" i="1"/>
  <c r="G12" i="1"/>
  <c r="F12" i="1"/>
  <c r="J10" i="1"/>
  <c r="G9" i="2" s="1"/>
  <c r="G18" i="2" s="1"/>
  <c r="J9" i="1"/>
  <c r="F112" i="1" l="1"/>
  <c r="C36" i="10" s="1"/>
  <c r="C62" i="2"/>
  <c r="C63" i="2" s="1"/>
  <c r="C104" i="2" s="1"/>
  <c r="H52" i="1"/>
  <c r="H619" i="1" s="1"/>
  <c r="J619" i="1"/>
  <c r="D127" i="2"/>
  <c r="D128" i="2" s="1"/>
  <c r="D145" i="2" s="1"/>
  <c r="L362" i="1"/>
  <c r="H661" i="1"/>
  <c r="F661" i="1"/>
  <c r="I661" i="1" s="1"/>
  <c r="G468" i="1"/>
  <c r="G628" i="1"/>
  <c r="C8" i="13"/>
  <c r="C11" i="10"/>
  <c r="L328" i="1"/>
  <c r="D31" i="13" s="1"/>
  <c r="C31" i="13" s="1"/>
  <c r="E110" i="2"/>
  <c r="E115" i="2" s="1"/>
  <c r="E145" i="2" s="1"/>
  <c r="A22" i="12"/>
  <c r="C51" i="2"/>
  <c r="F52" i="1"/>
  <c r="H617" i="1" s="1"/>
  <c r="J617" i="1" s="1"/>
  <c r="C123" i="2"/>
  <c r="C128" i="2" s="1"/>
  <c r="C20" i="10"/>
  <c r="D14" i="13"/>
  <c r="C14" i="13" s="1"/>
  <c r="G622" i="1"/>
  <c r="L401" i="1"/>
  <c r="C139" i="2" s="1"/>
  <c r="L408" i="1"/>
  <c r="J193" i="1"/>
  <c r="G47" i="2"/>
  <c r="G50" i="2" s="1"/>
  <c r="G51" i="2" s="1"/>
  <c r="J51" i="1"/>
  <c r="J639" i="1"/>
  <c r="I460" i="1"/>
  <c r="I461" i="1" s="1"/>
  <c r="H642" i="1" s="1"/>
  <c r="J642" i="1"/>
  <c r="H552" i="1"/>
  <c r="G164" i="2"/>
  <c r="F500" i="1"/>
  <c r="K500" i="1" s="1"/>
  <c r="B159" i="2"/>
  <c r="G159" i="2" s="1"/>
  <c r="B161" i="2"/>
  <c r="G161" i="2" s="1"/>
  <c r="K503" i="1"/>
  <c r="I545" i="1"/>
  <c r="F545" i="1"/>
  <c r="L529" i="1"/>
  <c r="G549" i="1"/>
  <c r="G552" i="1" s="1"/>
  <c r="H545" i="1"/>
  <c r="G257" i="1"/>
  <c r="G271" i="1" s="1"/>
  <c r="L524" i="1"/>
  <c r="K550" i="1"/>
  <c r="G524" i="1"/>
  <c r="G545" i="1" s="1"/>
  <c r="L257" i="1"/>
  <c r="L271" i="1" s="1"/>
  <c r="D5" i="13"/>
  <c r="C110" i="2"/>
  <c r="C115" i="2" s="1"/>
  <c r="F551" i="1"/>
  <c r="F552" i="1" s="1"/>
  <c r="L570" i="1"/>
  <c r="L571" i="1" s="1"/>
  <c r="F663" i="1"/>
  <c r="G664" i="1"/>
  <c r="L541" i="1"/>
  <c r="J549" i="1" s="1"/>
  <c r="K598" i="1"/>
  <c r="G647" i="1" s="1"/>
  <c r="J647" i="1" s="1"/>
  <c r="J552" i="1"/>
  <c r="L544" i="1"/>
  <c r="F193" i="1" l="1"/>
  <c r="F468" i="1" s="1"/>
  <c r="F470" i="1" s="1"/>
  <c r="F664" i="1"/>
  <c r="F667" i="1" s="1"/>
  <c r="C27" i="10"/>
  <c r="C28" i="10" s="1"/>
  <c r="G472" i="1"/>
  <c r="G635" i="1"/>
  <c r="H628" i="1"/>
  <c r="J628" i="1" s="1"/>
  <c r="G470" i="1"/>
  <c r="G465" i="1"/>
  <c r="H660" i="1"/>
  <c r="I660" i="1" s="1"/>
  <c r="L338" i="1"/>
  <c r="L352" i="1" s="1"/>
  <c r="H472" i="1" s="1"/>
  <c r="G633" i="1"/>
  <c r="F672" i="1"/>
  <c r="C4" i="10" s="1"/>
  <c r="C141" i="2"/>
  <c r="C144" i="2" s="1"/>
  <c r="C145" i="2" s="1"/>
  <c r="G637" i="1"/>
  <c r="H646" i="1"/>
  <c r="C41" i="10"/>
  <c r="D36" i="10" s="1"/>
  <c r="G646" i="1"/>
  <c r="G631" i="1"/>
  <c r="J468" i="1"/>
  <c r="J465" i="1" s="1"/>
  <c r="J52" i="1"/>
  <c r="H621" i="1" s="1"/>
  <c r="J621" i="1" s="1"/>
  <c r="G626" i="1"/>
  <c r="K551" i="1"/>
  <c r="L545" i="1"/>
  <c r="K549" i="1"/>
  <c r="F472" i="1"/>
  <c r="G632" i="1"/>
  <c r="D33" i="13"/>
  <c r="D36" i="13" s="1"/>
  <c r="C5" i="13"/>
  <c r="I663" i="1"/>
  <c r="G667" i="1"/>
  <c r="G672" i="1"/>
  <c r="C5" i="10" s="1"/>
  <c r="H627" i="1" l="1"/>
  <c r="G627" i="1"/>
  <c r="I664" i="1"/>
  <c r="I667" i="1" s="1"/>
  <c r="C30" i="10"/>
  <c r="D25" i="10"/>
  <c r="D11" i="10"/>
  <c r="D17" i="10"/>
  <c r="D27" i="10"/>
  <c r="D13" i="10"/>
  <c r="D21" i="10"/>
  <c r="D20" i="10"/>
  <c r="D10" i="10"/>
  <c r="D22" i="10"/>
  <c r="D26" i="10"/>
  <c r="H635" i="1"/>
  <c r="J635" i="1" s="1"/>
  <c r="G474" i="1"/>
  <c r="G476" i="1"/>
  <c r="H623" i="1" s="1"/>
  <c r="J623" i="1" s="1"/>
  <c r="D18" i="10"/>
  <c r="D19" i="10"/>
  <c r="D12" i="10"/>
  <c r="D15" i="10"/>
  <c r="D23" i="10"/>
  <c r="D16" i="10"/>
  <c r="D24" i="10"/>
  <c r="H664" i="1"/>
  <c r="H465" i="1"/>
  <c r="H474" i="1"/>
  <c r="H633" i="1"/>
  <c r="J633" i="1" s="1"/>
  <c r="J646" i="1"/>
  <c r="H637" i="1"/>
  <c r="J637" i="1" s="1"/>
  <c r="H631" i="1"/>
  <c r="J631" i="1" s="1"/>
  <c r="J470" i="1"/>
  <c r="J476" i="1" s="1"/>
  <c r="H626" i="1" s="1"/>
  <c r="J626" i="1" s="1"/>
  <c r="D40" i="10"/>
  <c r="D38" i="10"/>
  <c r="D39" i="10"/>
  <c r="D37" i="10"/>
  <c r="D35" i="10"/>
  <c r="K552" i="1"/>
  <c r="H632" i="1"/>
  <c r="J632" i="1" s="1"/>
  <c r="F474" i="1"/>
  <c r="F465" i="1"/>
  <c r="I672" i="1"/>
  <c r="C7" i="10" s="1"/>
  <c r="J627" i="1" l="1"/>
  <c r="D28" i="10"/>
  <c r="H667" i="1"/>
  <c r="H672" i="1"/>
  <c r="C6" i="10" s="1"/>
  <c r="H476" i="1"/>
  <c r="H624" i="1" s="1"/>
  <c r="J624" i="1" s="1"/>
  <c r="D41" i="10"/>
  <c r="F476" i="1"/>
  <c r="H622" i="1" s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<sst xmlns="http://schemas.openxmlformats.org/spreadsheetml/2006/main" count="3968" uniqueCount="925">
  <si>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</si>
  <si>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</si>
  <si>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</si>
  <si>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</si>
  <si>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</si>
  <si>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</si>
  <si>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</si>
  <si>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</si>
  <si>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</si>
  <si>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</si>
  <si>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</si>
  <si>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</si>
  <si>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</si>
  <si>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</si>
  <si>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</si>
  <si>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</si>
  <si>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</si>
  <si>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</si>
  <si>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</si>
  <si>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</si>
  <si>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</si>
  <si>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</si>
  <si>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</si>
  <si>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</si>
  <si>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</si>
  <si>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</si>
  <si>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</si>
  <si>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</si>
  <si>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</si>
  <si>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</si>
  <si>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</si>
  <si>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</si>
  <si>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</si>
  <si>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</si>
  <si>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</si>
  <si>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</si>
  <si>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</si>
  <si>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</si>
  <si>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</si>
  <si>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</si>
  <si>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</si>
  <si>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</si>
  <si>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</si>
  <si>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</si>
  <si>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</si>
  <si>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</si>
  <si>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</si>
  <si>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</si>
  <si>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</si>
  <si>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</si>
  <si>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</si>
  <si>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</si>
  <si>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</si>
  <si>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</si>
  <si>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</si>
  <si>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</si>
  <si>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</si>
  <si>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</si>
  <si>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</si>
  <si>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</si>
  <si>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</si>
  <si>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</si>
  <si>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</si>
  <si>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</si>
  <si>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</si>
  <si>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</si>
  <si>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</si>
  <si>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</si>
  <si>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</si>
  <si>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</si>
  <si>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</si>
  <si>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</si>
  <si>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</si>
  <si>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</si>
  <si>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</si>
  <si>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</si>
  <si>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</si>
  <si>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</si>
  <si>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</si>
  <si>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</si>
  <si>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</si>
  <si>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</si>
  <si>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</si>
  <si>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</si>
  <si>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</si>
  <si>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</si>
  <si>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</si>
  <si>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</si>
  <si>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</si>
  <si>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</si>
  <si>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</si>
  <si>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</si>
  <si>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</si>
  <si>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</si>
  <si>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</si>
  <si>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</si>
  <si>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</si>
  <si>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</si>
  <si>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</si>
  <si>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</si>
  <si>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</si>
  <si>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</si>
  <si>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</si>
  <si>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</si>
  <si>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</si>
  <si>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</si>
  <si>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</si>
  <si>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</si>
  <si>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</si>
  <si>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</si>
  <si>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</si>
  <si>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</si>
  <si>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</si>
  <si>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</si>
  <si>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</si>
  <si>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</si>
  <si>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</si>
  <si>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</si>
  <si>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</si>
  <si>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</si>
  <si>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</si>
  <si>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</si>
  <si>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</si>
  <si>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</si>
  <si>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</si>
  <si>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</si>
  <si>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</si>
  <si>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</si>
  <si>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</si>
  <si>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</si>
  <si>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</si>
  <si>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</si>
  <si>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</si>
  <si>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</si>
  <si>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</si>
  <si>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</si>
  <si>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</si>
  <si>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</si>
  <si>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</si>
  <si>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</si>
  <si>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</si>
  <si>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</si>
  <si>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</si>
  <si>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</si>
  <si>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</si>
  <si>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</si>
  <si>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</si>
  <si>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</si>
  <si>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</si>
  <si>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</si>
  <si>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</si>
  <si>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</si>
  <si>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</si>
  <si>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</si>
  <si>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</si>
  <si>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</si>
  <si>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</si>
  <si>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</si>
  <si>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</si>
  <si>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</si>
  <si>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</si>
  <si>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</si>
  <si>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</si>
  <si>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</si>
  <si>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</si>
  <si>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</si>
  <si>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</si>
  <si>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</si>
  <si>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</si>
  <si>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</si>
  <si>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</si>
  <si>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</si>
  <si>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</si>
  <si>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</si>
  <si>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</si>
  <si>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</si>
  <si>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</si>
  <si>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</si>
  <si>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</si>
  <si>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</si>
  <si>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</si>
  <si>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</si>
  <si>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</si>
  <si>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</si>
  <si>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</si>
  <si>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</si>
  <si>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</si>
  <si>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</si>
  <si>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</si>
  <si>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</si>
  <si>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</si>
  <si>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</si>
  <si>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</si>
  <si>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</si>
  <si>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</si>
  <si>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</si>
  <si>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</si>
  <si>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</si>
  <si>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</si>
  <si>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</si>
  <si>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</si>
  <si>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</si>
  <si>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</si>
  <si>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</si>
  <si>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</si>
  <si>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</si>
  <si>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</si>
  <si>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</si>
  <si>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</si>
  <si>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</si>
  <si>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</si>
  <si>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</si>
  <si>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</si>
  <si>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</si>
  <si>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</si>
  <si>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</si>
  <si>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</si>
  <si>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</si>
  <si>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</si>
  <si>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</si>
  <si>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</si>
  <si>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</si>
  <si>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</si>
  <si>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</si>
  <si>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</si>
  <si>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</si>
  <si>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</si>
  <si>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</si>
  <si>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</si>
  <si>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</si>
  <si>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</si>
  <si>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</si>
  <si>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</si>
  <si>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</si>
  <si>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</si>
  <si>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</si>
  <si>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</si>
  <si>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</si>
  <si>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</si>
  <si>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</si>
  <si>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</si>
  <si>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</si>
  <si>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</si>
  <si>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</si>
  <si>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</si>
  <si>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</si>
  <si>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</si>
  <si>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</si>
  <si>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</si>
  <si>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</si>
  <si>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</si>
  <si>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</si>
  <si>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</si>
  <si>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</si>
  <si>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</si>
  <si>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</si>
  <si>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</si>
  <si>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</si>
  <si>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</si>
  <si>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</si>
  <si>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</si>
  <si>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</si>
  <si>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</si>
  <si>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</si>
  <si>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</si>
  <si>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</si>
  <si>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</si>
  <si>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</si>
  <si>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</si>
  <si>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</si>
  <si>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</si>
  <si>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</si>
  <si>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</si>
  <si>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</si>
  <si>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</si>
  <si>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</si>
  <si>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</si>
  <si>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</si>
  <si>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</si>
  <si>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</si>
  <si>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</si>
  <si>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</si>
  <si>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</si>
  <si>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</si>
  <si>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</si>
  <si>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</si>
  <si>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</si>
  <si>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</si>
  <si>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</si>
  <si>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</si>
  <si>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</si>
  <si>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</si>
  <si>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</si>
  <si>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</si>
  <si>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</si>
  <si>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</si>
  <si>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</si>
  <si>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</si>
  <si>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</si>
  <si>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</si>
  <si>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</si>
  <si>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</si>
  <si>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</si>
  <si>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</si>
  <si>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</si>
  <si>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</si>
  <si>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</si>
  <si>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</si>
  <si>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</si>
  <si>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</si>
  <si>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</si>
  <si>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</si>
  <si>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</si>
  <si>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</si>
  <si>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</si>
  <si>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</si>
  <si>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</si>
  <si>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</si>
  <si>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</si>
  <si>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</si>
  <si>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</si>
  <si>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</si>
  <si>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</si>
  <si>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</si>
  <si>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</si>
  <si>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</si>
  <si>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</si>
  <si>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</si>
  <si>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</si>
  <si>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</si>
  <si>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</si>
  <si>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</si>
  <si>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</si>
  <si>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</si>
  <si>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</si>
  <si>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</si>
  <si>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</si>
  <si>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</si>
  <si>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</si>
  <si>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</si>
  <si>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</si>
  <si>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</si>
  <si>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</si>
  <si>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</si>
  <si>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</si>
  <si>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</si>
  <si>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</si>
  <si>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</si>
  <si>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</si>
  <si>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</si>
  <si>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</si>
  <si>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</si>
  <si>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</si>
  <si>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</si>
  <si>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</si>
  <si>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</si>
  <si>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</si>
  <si>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</si>
  <si>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</si>
  <si>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</si>
  <si>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</si>
  <si>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</si>
  <si>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</si>
  <si>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</si>
  <si>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</si>
  <si>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</si>
  <si>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</si>
  <si>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</si>
  <si>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</si>
  <si>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</si>
  <si>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</si>
  <si>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</si>
  <si>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</si>
  <si>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</si>
  <si>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</si>
  <si>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</si>
  <si>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</si>
  <si>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</si>
  <si>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</si>
  <si>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</si>
  <si>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</si>
  <si>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</si>
  <si>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</si>
  <si>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</si>
  <si>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</si>
  <si>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</si>
  <si>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</si>
  <si>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</si>
  <si>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</si>
  <si>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</si>
  <si>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</si>
  <si>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</si>
  <si>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</si>
  <si>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</si>
  <si>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</si>
  <si>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</si>
  <si>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</si>
  <si>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</si>
  <si>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</si>
  <si>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</si>
  <si>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</si>
  <si>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</si>
  <si>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</si>
  <si>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</si>
  <si>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</si>
  <si>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</si>
  <si>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</si>
  <si>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</si>
  <si>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</si>
  <si>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</si>
  <si>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</si>
  <si>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</si>
  <si>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</si>
  <si>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</si>
  <si>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</si>
  <si>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</si>
  <si>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</si>
  <si>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</si>
  <si>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</si>
  <si>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</si>
  <si>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</si>
  <si>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</si>
  <si>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</si>
  <si>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</si>
  <si>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</si>
  <si>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</si>
  <si>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</si>
  <si>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</si>
  <si>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</si>
  <si>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</si>
  <si>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</si>
  <si>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</si>
  <si>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</si>
  <si>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</si>
  <si>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</si>
  <si>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</si>
  <si>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</si>
  <si>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</si>
  <si>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</si>
  <si>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</si>
  <si>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</si>
  <si>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</si>
  <si>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</si>
  <si>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</si>
  <si>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</si>
  <si>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</si>
  <si>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</si>
  <si>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</si>
  <si>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</si>
  <si>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</si>
  <si>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</si>
  <si>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</si>
  <si>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</si>
  <si>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</si>
  <si>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</si>
  <si>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</si>
  <si>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</si>
  <si>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</si>
  <si>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</si>
  <si>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</si>
  <si>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</si>
  <si>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</si>
  <si>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</si>
  <si>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</si>
  <si>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</si>
  <si>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</si>
  <si>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</si>
  <si>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</si>
  <si>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</si>
  <si>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</si>
  <si>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</si>
  <si>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</si>
  <si>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</si>
  <si>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</si>
  <si>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</si>
  <si>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</si>
  <si>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</si>
  <si>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</si>
  <si>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</si>
  <si>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</si>
  <si>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</si>
  <si>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</si>
  <si>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</si>
  <si>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</si>
  <si>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</si>
  <si>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</si>
  <si>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</si>
  <si>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</si>
  <si>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</si>
  <si>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</si>
  <si>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</si>
  <si>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</si>
  <si>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</si>
  <si>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</si>
  <si>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</si>
  <si>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</si>
  <si>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</si>
  <si>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</si>
  <si>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</si>
  <si>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</si>
  <si>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</si>
  <si>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</si>
  <si>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</si>
  <si>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</si>
  <si>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</si>
  <si>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</si>
  <si>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</si>
  <si>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</si>
  <si>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</si>
  <si>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</si>
  <si>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</si>
  <si>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</si>
  <si>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</si>
  <si>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</si>
  <si>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</si>
  <si>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</si>
  <si>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</si>
  <si>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</si>
  <si>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</si>
  <si>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</si>
  <si>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</si>
  <si>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</si>
  <si>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</si>
  <si>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</si>
  <si>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</si>
  <si>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</si>
  <si>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</si>
  <si>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</si>
  <si>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</si>
  <si>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</si>
  <si>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</si>
  <si>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</si>
  <si>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</si>
  <si>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</si>
  <si>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</si>
  <si>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</si>
  <si>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</si>
  <si>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</si>
  <si>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</si>
  <si>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</si>
  <si>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</si>
  <si>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</si>
  <si>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</si>
  <si>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</si>
  <si>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</si>
  <si>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</si>
  <si>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</si>
  <si>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</si>
  <si>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</si>
  <si>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</si>
  <si>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</si>
  <si>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</si>
  <si>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</si>
  <si>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</si>
  <si>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</si>
  <si>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</si>
  <si>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</si>
  <si>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</si>
  <si>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</si>
  <si>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</si>
  <si>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</si>
  <si>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</si>
  <si>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</si>
  <si>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</si>
  <si>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</si>
  <si>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</si>
  <si>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</si>
  <si>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</si>
  <si>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</si>
  <si>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</si>
  <si>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</si>
  <si>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</si>
  <si>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</si>
  <si>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</si>
  <si>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</si>
  <si>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</si>
  <si>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</si>
  <si>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</si>
  <si>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</si>
  <si>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</si>
  <si>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</si>
  <si>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</si>
  <si>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</si>
  <si>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</si>
  <si>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</si>
  <si>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</si>
  <si>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</si>
  <si>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</si>
  <si>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</si>
  <si>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</si>
  <si>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</si>
  <si>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</si>
  <si>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</si>
  <si>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</si>
  <si>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</si>
  <si>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</si>
  <si>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</si>
  <si>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</si>
  <si>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</si>
  <si>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</si>
  <si>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</si>
  <si>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</si>
  <si>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</si>
  <si>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</si>
  <si>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</si>
  <si>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</si>
  <si>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</si>
  <si>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</si>
  <si>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</si>
  <si>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</si>
  <si>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</si>
  <si>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</si>
  <si>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</si>
  <si>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</si>
  <si>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</si>
  <si>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</si>
  <si>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</si>
  <si>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</si>
  <si>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</si>
  <si>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</si>
  <si>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</si>
  <si>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</si>
  <si>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</si>
  <si>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</si>
  <si>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</si>
  <si>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</si>
  <si>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</si>
  <si>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</si>
  <si>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</si>
  <si>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</si>
  <si>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</si>
  <si>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</si>
  <si>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</si>
  <si>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</si>
  <si>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</si>
  <si>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</si>
  <si>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</si>
  <si>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</si>
  <si>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</si>
  <si>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</si>
  <si>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</si>
  <si>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</si>
  <si>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</si>
  <si>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</si>
  <si>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</si>
  <si>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</si>
  <si>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</si>
  <si>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</si>
  <si>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</si>
  <si>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</si>
  <si>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</si>
  <si>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</si>
  <si>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</si>
  <si>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</si>
  <si>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</si>
  <si>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</si>
  <si>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</si>
  <si>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</si>
  <si>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</si>
  <si>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</si>
  <si>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</si>
  <si>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</si>
  <si>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</si>
  <si>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</si>
  <si>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</si>
  <si>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</si>
  <si>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</si>
  <si>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</si>
  <si>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</si>
  <si>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</si>
  <si>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</si>
  <si>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</si>
  <si>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</si>
  <si>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</si>
  <si>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</si>
  <si>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</si>
  <si>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</si>
  <si>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</si>
  <si>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</si>
  <si>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</si>
  <si>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</si>
  <si>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</si>
  <si>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</si>
  <si>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</si>
  <si>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</si>
  <si>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</si>
  <si>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</si>
  <si>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</si>
  <si>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</si>
  <si>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</si>
  <si>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</si>
  <si>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</si>
  <si>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</si>
  <si>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</si>
  <si>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</si>
  <si>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</si>
  <si>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</si>
  <si>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</si>
  <si>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</si>
  <si>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</si>
  <si>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</si>
  <si>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</si>
  <si>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</si>
  <si>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</si>
  <si>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</si>
  <si>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</si>
  <si>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</si>
  <si>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</si>
  <si>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</si>
  <si>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</si>
  <si>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</si>
  <si>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</si>
  <si>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</si>
  <si>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</si>
  <si>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</si>
  <si>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</si>
  <si>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</si>
  <si>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</si>
  <si>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</si>
  <si>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</si>
  <si>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</si>
  <si>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</si>
  <si>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</si>
  <si>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</si>
  <si>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</si>
  <si>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</si>
  <si>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</si>
  <si>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</si>
  <si>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</si>
  <si>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</si>
  <si>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</si>
  <si>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</si>
  <si>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</si>
  <si>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</si>
  <si>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</si>
  <si>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</si>
  <si>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</si>
  <si>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</si>
  <si>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</si>
  <si>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</si>
  <si>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</si>
  <si>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</si>
  <si>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</si>
  <si>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</si>
  <si>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</si>
  <si>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</si>
  <si>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</si>
  <si>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</si>
  <si>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</si>
  <si>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</si>
  <si>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</si>
  <si>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</si>
  <si>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</si>
  <si>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</si>
  <si>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</si>
  <si>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</si>
  <si>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</si>
  <si>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</si>
  <si>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</si>
  <si>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</si>
  <si>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</si>
  <si>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</si>
  <si>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</si>
  <si>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</si>
  <si>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</si>
  <si>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</si>
  <si>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</si>
  <si>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</si>
  <si>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</si>
  <si>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</si>
  <si>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</si>
  <si>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</si>
  <si>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</si>
  <si>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</si>
  <si>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</si>
  <si>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</si>
  <si>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</si>
  <si>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</si>
  <si>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</si>
  <si>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</si>
  <si>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</si>
  <si>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</si>
  <si>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</si>
  <si>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</si>
  <si>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</si>
  <si>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</si>
  <si>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</si>
  <si>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</si>
  <si>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</si>
  <si>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</si>
  <si>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</si>
  <si>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</si>
  <si>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</si>
  <si>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</si>
  <si>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</si>
  <si>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</si>
  <si>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</si>
  <si>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</si>
  <si>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</si>
  <si>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</si>
  <si>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</si>
  <si>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</si>
  <si>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</si>
  <si>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</si>
  <si>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</si>
  <si>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</si>
  <si>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</si>
  <si>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</si>
  <si>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</si>
  <si>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</si>
  <si>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</si>
  <si>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</si>
  <si>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</si>
  <si>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</si>
  <si>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</si>
  <si>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</si>
  <si>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</si>
  <si>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</si>
  <si>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</si>
  <si>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</si>
  <si>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</si>
  <si>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</si>
  <si>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</si>
  <si>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</si>
  <si>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</si>
  <si>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</si>
  <si>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</si>
  <si>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</si>
  <si>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</si>
  <si>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</si>
  <si>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</si>
  <si>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</si>
  <si>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</si>
  <si>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</si>
  <si>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</si>
  <si>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</si>
  <si>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</si>
  <si>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</si>
  <si>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</si>
  <si>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</si>
  <si>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</si>
  <si>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</si>
  <si>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</si>
  <si>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</si>
  <si>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</si>
  <si>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</si>
  <si>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</si>
  <si>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</si>
  <si>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</si>
  <si>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</si>
  <si>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</si>
  <si>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</si>
  <si>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</si>
  <si>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</si>
  <si>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</si>
  <si>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</si>
  <si>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</si>
  <si>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</si>
  <si>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</si>
  <si>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</si>
  <si>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</si>
  <si>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</si>
  <si>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</si>
  <si>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</si>
  <si>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</si>
  <si>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</si>
  <si>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</si>
  <si>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</si>
  <si>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</si>
  <si>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</si>
  <si>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</si>
  <si>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</si>
  <si>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</si>
  <si>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</si>
  <si>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</si>
  <si>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</si>
  <si>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</si>
  <si>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</si>
  <si>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</si>
  <si>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</si>
  <si>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</si>
  <si>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</si>
  <si>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</si>
  <si>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</si>
  <si>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</si>
  <si>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</si>
  <si>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</si>
  <si>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</si>
  <si>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</si>
  <si>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</si>
  <si>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</si>
  <si>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</si>
  <si>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</si>
  <si>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</si>
  <si>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</si>
  <si>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</si>
  <si>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</si>
  <si>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</si>
  <si>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</si>
  <si>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</si>
  <si>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</si>
  <si>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</si>
  <si>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</si>
  <si>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</si>
  <si>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</si>
  <si>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</si>
  <si>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</si>
  <si>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</si>
  <si>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</si>
  <si>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</si>
  <si>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</si>
  <si>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8/04</t>
  </si>
  <si>
    <t>08/06</t>
  </si>
  <si>
    <t>11/10</t>
  </si>
  <si>
    <t>8/14</t>
  </si>
  <si>
    <t>08/26</t>
  </si>
  <si>
    <t>7/25</t>
  </si>
  <si>
    <t>Up from Prior year due to increase of  $503,913.33 in out of district tuition.</t>
  </si>
  <si>
    <t xml:space="preserve">Teacher staff also increased in 13-14 from half day kindergarten to full day kindergarten. </t>
  </si>
  <si>
    <t>in part to two collective bargaining agreements passing.</t>
  </si>
  <si>
    <t>Health rates increased approx 7% from 12-13 to 13-14 or Approx. $356,375.</t>
  </si>
  <si>
    <t>Cost per pupil rose approx. 4.7%.  Overall wages increased 5% or $649,554.  That amount was due</t>
  </si>
  <si>
    <t>Building aid was reduced by 10,000 from state listed revenue.  That amount was reported in the prior year</t>
  </si>
  <si>
    <t xml:space="preserve"> as revenue as amount that was due.  I set up an AR and posted building aid revenue in 12-13 for $10,000</t>
  </si>
  <si>
    <t>Kearsarge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</si>
</sst>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2" fillId="0" borderId="0" xfId="0" quotePrefix="1" applyNumberFormat="1" applyFont="1" applyAlignment="1" applyProtection="1">
      <alignment horizontal="center"/>
      <protection locked="0"/>
    </xf>
    <xf numFmtId="0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.2" customHeight="1" x14ac:dyDescent="0.2">
      <c r="A2" s="176" t="s">
        <v>924</v>
      </c>
      <c r="B2" s="21">
        <v>276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.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.2" customHeight="1" x14ac:dyDescent="0.15">
      <c r="A4" s="1" t="s">
        <v>279</v>
      </c>
      <c r="K4" s="13"/>
      <c r="L4" s="13"/>
    </row>
    <row r="5" spans="1:14" s="3" customFormat="1" ht="12.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.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.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682225.37</v>
      </c>
      <c r="G9" s="18"/>
      <c r="H9" s="18"/>
      <c r="I9" s="18">
        <v>150675.74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.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2403425.8199999998</v>
      </c>
      <c r="G10" s="18">
        <v>681608.68</v>
      </c>
      <c r="H10" s="18"/>
      <c r="I10" s="18"/>
      <c r="J10" s="67">
        <f>SUM(I440)</f>
        <v>1752834.12</v>
      </c>
      <c r="K10" s="24" t="s">
        <v>289</v>
      </c>
      <c r="L10" s="24" t="s">
        <v>289</v>
      </c>
      <c r="M10" s="8"/>
      <c r="N10" s="272"/>
    </row>
    <row r="11" spans="1:14" s="3" customFormat="1" ht="12.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.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322535.24+703323.38+45732</f>
        <v>1071590.6200000001</v>
      </c>
      <c r="G12" s="18">
        <f>10702.9+26285.64</f>
        <v>36988.54</v>
      </c>
      <c r="H12" s="18">
        <f>2737.44+6.83+215142.86</f>
        <v>217887.12999999998</v>
      </c>
      <c r="I12" s="18"/>
      <c r="J12" s="67">
        <f>SUM(I441)</f>
        <v>2</v>
      </c>
      <c r="K12" s="24" t="s">
        <v>289</v>
      </c>
      <c r="L12" s="24" t="s">
        <v>289</v>
      </c>
      <c r="M12" s="8"/>
      <c r="N12" s="272"/>
    </row>
    <row r="13" spans="1:14" s="3" customFormat="1" ht="12.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176034.94-1406.38+80752.78+158470.31</f>
        <v>413851.65</v>
      </c>
      <c r="G13" s="18">
        <v>20921.3</v>
      </c>
      <c r="H13" s="18">
        <f>392560.21+85083.84+7850</f>
        <v>485494.05000000005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.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225.49</f>
        <v>225.49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.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.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f>130632.88-230.79</f>
        <v>130402.09000000001</v>
      </c>
      <c r="G16" s="18">
        <v>12066.41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.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17376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.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.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4719097.04</v>
      </c>
      <c r="G19" s="41">
        <f>SUM(G9:G18)</f>
        <v>751584.93000000017</v>
      </c>
      <c r="H19" s="41">
        <f>SUM(H9:H18)</f>
        <v>703381.18</v>
      </c>
      <c r="I19" s="41">
        <f>SUM(I9:I18)</f>
        <v>150675.74</v>
      </c>
      <c r="J19" s="41">
        <f>SUM(J9:J18)</f>
        <v>1752836.12</v>
      </c>
      <c r="K19" s="45" t="s">
        <v>289</v>
      </c>
      <c r="L19" s="45" t="s">
        <v>289</v>
      </c>
      <c r="M19" s="8"/>
      <c r="N19" s="272"/>
    </row>
    <row r="20" spans="1:14" s="3" customFormat="1" ht="12.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.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215142.86+2</f>
        <v>215144.86</v>
      </c>
      <c r="G22" s="18">
        <v>703323.38</v>
      </c>
      <c r="H22" s="18">
        <f>322535.24+13440.34+6.83+26285.64</f>
        <v>362268.05000000005</v>
      </c>
      <c r="I22" s="18">
        <v>45732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.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.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354110.09</f>
        <v>354110.09</v>
      </c>
      <c r="G24" s="18">
        <v>23120.7</v>
      </c>
      <c r="H24" s="18">
        <f>15596.05+365.55</f>
        <v>15961.599999999999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.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.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.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.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1108515.41+41387.93</f>
        <v>1149903.3399999999</v>
      </c>
      <c r="G28" s="18"/>
      <c r="H28" s="18">
        <f>32262.14</f>
        <v>32262.14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.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0.07+0.68+1250+7320.6-1234.69</f>
        <v>7336.66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.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447612.64</f>
        <v>447612.64</v>
      </c>
      <c r="G30" s="18">
        <v>13074.44</v>
      </c>
      <c r="H30" s="18">
        <f>11470.71+273568.68</f>
        <v>285039.39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.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.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2174107.59</v>
      </c>
      <c r="G32" s="41">
        <f>SUM(G22:G31)</f>
        <v>739518.5199999999</v>
      </c>
      <c r="H32" s="41">
        <f>SUM(H22:H31)</f>
        <v>695531.18</v>
      </c>
      <c r="I32" s="41">
        <f>SUM(I22:I31)</f>
        <v>45732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.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.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.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f>130632.88-230.79</f>
        <v>130402.09000000001</v>
      </c>
      <c r="G35" s="18">
        <v>12066.41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.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17376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.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.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.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.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.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.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.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.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.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f>697010.57+16571.54+7358.54</f>
        <v>720940.65</v>
      </c>
      <c r="G45" s="18"/>
      <c r="H45" s="18">
        <v>7850</v>
      </c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.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.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.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f>104777.4+127.86+38.48</f>
        <v>104943.73999999999</v>
      </c>
      <c r="J48" s="13">
        <f>SUM(I459)</f>
        <v>1752836.12</v>
      </c>
      <c r="K48" s="24" t="s">
        <v>289</v>
      </c>
      <c r="L48" s="24" t="s">
        <v>289</v>
      </c>
      <c r="M48" s="8"/>
      <c r="N48" s="272"/>
    </row>
    <row r="49" spans="1:14" s="3" customFormat="1" ht="12.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1795854.56-254124.08-16571.54+158470.31-7358.54-75000</f>
        <v>1601270.71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.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2544989.4500000002</v>
      </c>
      <c r="G51" s="41">
        <f>SUM(G35:G50)</f>
        <v>12066.41</v>
      </c>
      <c r="H51" s="41">
        <f>SUM(H35:H50)</f>
        <v>7850</v>
      </c>
      <c r="I51" s="41">
        <f>SUM(I35:I50)</f>
        <v>104943.73999999999</v>
      </c>
      <c r="J51" s="41">
        <f>SUM(J35:J50)</f>
        <v>1752836.12</v>
      </c>
      <c r="K51" s="45" t="s">
        <v>289</v>
      </c>
      <c r="L51" s="45" t="s">
        <v>289</v>
      </c>
      <c r="N51" s="270"/>
    </row>
    <row r="52" spans="1:14" s="3" customFormat="1" ht="12.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4719097.04</v>
      </c>
      <c r="G52" s="41">
        <f>G51+G32</f>
        <v>751584.92999999993</v>
      </c>
      <c r="H52" s="41">
        <f>H51+H32</f>
        <v>703381.18</v>
      </c>
      <c r="I52" s="41">
        <f>I51+I32</f>
        <v>150675.74</v>
      </c>
      <c r="J52" s="41">
        <f>J51+J32</f>
        <v>1752836.12</v>
      </c>
      <c r="K52" s="45" t="s">
        <v>289</v>
      </c>
      <c r="L52" s="45" t="s">
        <v>289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.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.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.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23529699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.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.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.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23529699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.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.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.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8206.25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.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.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.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6383.6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.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.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31914.1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.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18073.14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.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.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.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.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.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.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.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.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.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10197.57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.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74774.66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.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.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.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.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.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.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.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.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.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.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.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.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.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.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.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2469.33</v>
      </c>
      <c r="G96" s="18">
        <v>141.69999999999999</v>
      </c>
      <c r="H96" s="18"/>
      <c r="I96" s="18">
        <v>38.479999999999997</v>
      </c>
      <c r="J96" s="18">
        <v>4630.7</v>
      </c>
      <c r="K96" s="24" t="s">
        <v>289</v>
      </c>
      <c r="L96" s="24" t="s">
        <v>289</v>
      </c>
      <c r="M96" s="8"/>
      <c r="N96" s="272"/>
    </row>
    <row r="97" spans="1:14" s="3" customFormat="1" ht="12.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433289.34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.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.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.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.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9187.77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.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 t="s">
        <v>287</v>
      </c>
      <c r="K102" s="24" t="s">
        <v>289</v>
      </c>
      <c r="L102" s="24" t="s">
        <v>289</v>
      </c>
      <c r="M102" s="8"/>
      <c r="N102" s="272"/>
    </row>
    <row r="103" spans="1:14" s="3" customFormat="1" ht="12.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.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.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.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.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.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.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.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73762.01+1234.69</f>
        <v>74996.7</v>
      </c>
      <c r="G110" s="18">
        <f>4780.5+29376.69</f>
        <v>34157.19</v>
      </c>
      <c r="H110" s="18">
        <v>87485.25</v>
      </c>
      <c r="I110" s="18"/>
      <c r="J110" s="18">
        <v>16239.85</v>
      </c>
      <c r="K110" s="24" t="s">
        <v>289</v>
      </c>
      <c r="L110" s="24" t="s">
        <v>289</v>
      </c>
      <c r="M110" s="8"/>
      <c r="N110" s="272"/>
    </row>
    <row r="111" spans="1:14" ht="12.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86653.8</v>
      </c>
      <c r="G111" s="41">
        <f>SUM(G96:G110)</f>
        <v>467588.23000000004</v>
      </c>
      <c r="H111" s="41">
        <f>SUM(H96:H110)</f>
        <v>87485.25</v>
      </c>
      <c r="I111" s="41">
        <f>SUM(I96:I110)</f>
        <v>38.479999999999997</v>
      </c>
      <c r="J111" s="41">
        <f>SUM(J96:J110)</f>
        <v>20870.55</v>
      </c>
      <c r="K111" s="45" t="s">
        <v>289</v>
      </c>
      <c r="L111" s="45" t="s">
        <v>289</v>
      </c>
      <c r="N111" s="270"/>
    </row>
    <row r="112" spans="1:14" s="3" customFormat="1" ht="12.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23691127.460000001</v>
      </c>
      <c r="G112" s="41">
        <f>G60+G111</f>
        <v>467588.23000000004</v>
      </c>
      <c r="H112" s="41">
        <f>H60+H79+H94+H111</f>
        <v>87485.25</v>
      </c>
      <c r="I112" s="41">
        <f>I60+I111</f>
        <v>38.479999999999997</v>
      </c>
      <c r="J112" s="41">
        <f>J60+J111</f>
        <v>20870.55</v>
      </c>
      <c r="K112" s="45" t="s">
        <v>289</v>
      </c>
      <c r="L112" s="45" t="s">
        <v>289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.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2801593.86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.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7060759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.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.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.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9862352.8599999994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.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.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1095635.9099999999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.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.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302833.82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.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.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27749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.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.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.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.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6067.95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.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.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.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1426218.73</v>
      </c>
      <c r="G136" s="41">
        <f>SUM(G123:G135)</f>
        <v>6067.95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.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.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.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.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11288571.59</v>
      </c>
      <c r="G140" s="41">
        <f>G121+SUM(G136:G137)</f>
        <v>6067.95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.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.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.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.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.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.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.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.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.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.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171022.21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.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276139.92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.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.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44704.51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.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178836.46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.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450382.18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.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106861.5+80752.78+158470.31</f>
        <v>346084.58999999997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.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.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346084.58999999997</v>
      </c>
      <c r="G162" s="41">
        <f>SUM(G150:G161)</f>
        <v>178836.46</v>
      </c>
      <c r="H162" s="41">
        <f>SUM(H150:H161)</f>
        <v>942248.82000000007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.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.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.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.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.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.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.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346084.58999999997</v>
      </c>
      <c r="G169" s="41">
        <f>G147+G162+SUM(G163:G168)</f>
        <v>178836.46</v>
      </c>
      <c r="H169" s="41">
        <f>H147+H162+SUM(H163:H168)</f>
        <v>942248.82000000007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.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.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.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72472.06</v>
      </c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.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72472.06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.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.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36072.19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.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.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.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.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36072.19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.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.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.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.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.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.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.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.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.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72472.06</v>
      </c>
      <c r="G192" s="41">
        <f>G183+SUM(G188:G191)</f>
        <v>36072.19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.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35398255.700000003</v>
      </c>
      <c r="G193" s="47">
        <f>G112+G140+G169+G192</f>
        <v>688564.83000000007</v>
      </c>
      <c r="H193" s="47">
        <f>H112+H140+H169+H192</f>
        <v>1029734.0700000001</v>
      </c>
      <c r="I193" s="47">
        <f>I112+I140+I169+I192</f>
        <v>38.479999999999997</v>
      </c>
      <c r="J193" s="47">
        <f>J112+J140+J192</f>
        <v>20870.55</v>
      </c>
      <c r="K193" s="45" t="s">
        <v>289</v>
      </c>
      <c r="L193" s="45" t="s">
        <v>289</v>
      </c>
      <c r="M193" s="8"/>
      <c r="N193" s="272"/>
    </row>
    <row r="194" spans="1:14" s="3" customFormat="1" ht="12.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.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.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3346520.16</v>
      </c>
      <c r="G197" s="18">
        <v>1915059.91</v>
      </c>
      <c r="H197" s="18">
        <v>144847.98000000001</v>
      </c>
      <c r="I197" s="18">
        <v>266171.78999999998</v>
      </c>
      <c r="J197" s="18">
        <v>96377.98</v>
      </c>
      <c r="K197" s="18"/>
      <c r="L197" s="19">
        <f>SUM(F197:K197)</f>
        <v>5768977.8200000012</v>
      </c>
      <c r="M197" s="8"/>
      <c r="N197" s="272"/>
    </row>
    <row r="198" spans="1:14" s="3" customFormat="1" ht="12.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1707194.11</v>
      </c>
      <c r="G198" s="18">
        <f>610413.88+1221.89</f>
        <v>611635.77</v>
      </c>
      <c r="H198" s="18">
        <v>151093.71</v>
      </c>
      <c r="I198" s="18">
        <v>24789.46</v>
      </c>
      <c r="J198" s="18"/>
      <c r="K198" s="18"/>
      <c r="L198" s="19">
        <f>SUM(F198:K198)</f>
        <v>2494713.0499999998</v>
      </c>
      <c r="M198" s="8"/>
      <c r="N198" s="272"/>
    </row>
    <row r="199" spans="1:14" s="3" customFormat="1" ht="12.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>
        <v>225</v>
      </c>
      <c r="J200" s="18"/>
      <c r="K200" s="18"/>
      <c r="L200" s="19">
        <f>SUM(F200:K200)</f>
        <v>225</v>
      </c>
      <c r="M200" s="8"/>
      <c r="N200" s="272"/>
    </row>
    <row r="201" spans="1:14" s="3" customFormat="1" ht="12.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.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386935.2</v>
      </c>
      <c r="G202" s="18">
        <v>171736.4</v>
      </c>
      <c r="H202" s="18">
        <v>1741.21</v>
      </c>
      <c r="I202" s="18">
        <v>4203.4399999999996</v>
      </c>
      <c r="J202" s="18"/>
      <c r="K202" s="18"/>
      <c r="L202" s="19">
        <f t="shared" ref="L202:L208" si="0">SUM(F202:K202)</f>
        <v>564616.24999999988</v>
      </c>
      <c r="M202" s="8"/>
      <c r="N202" s="272"/>
    </row>
    <row r="203" spans="1:14" s="3" customFormat="1" ht="12.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133350.84</v>
      </c>
      <c r="G203" s="18">
        <v>70036.039999999994</v>
      </c>
      <c r="H203" s="18">
        <v>25386.06</v>
      </c>
      <c r="I203" s="18">
        <v>16954.16</v>
      </c>
      <c r="J203" s="18">
        <v>1383.93</v>
      </c>
      <c r="K203" s="18"/>
      <c r="L203" s="19">
        <f t="shared" si="0"/>
        <v>247111.03</v>
      </c>
      <c r="M203" s="8"/>
      <c r="N203" s="272"/>
    </row>
    <row r="204" spans="1:14" s="3" customFormat="1" ht="12.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380137.59</v>
      </c>
      <c r="G204" s="18">
        <v>150021.22</v>
      </c>
      <c r="H204" s="18">
        <v>147173.34</v>
      </c>
      <c r="I204" s="18">
        <v>11013.81</v>
      </c>
      <c r="J204" s="18">
        <v>317.74</v>
      </c>
      <c r="K204" s="18">
        <v>6084.51</v>
      </c>
      <c r="L204" s="19">
        <f t="shared" si="0"/>
        <v>694748.21000000008</v>
      </c>
      <c r="M204" s="8"/>
      <c r="N204" s="272"/>
    </row>
    <row r="205" spans="1:14" s="3" customFormat="1" ht="12.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467298.07</v>
      </c>
      <c r="G205" s="18">
        <v>208304.7</v>
      </c>
      <c r="H205" s="18">
        <v>29820.16</v>
      </c>
      <c r="I205" s="18">
        <v>2807.08</v>
      </c>
      <c r="J205" s="18">
        <v>1115</v>
      </c>
      <c r="K205" s="18">
        <v>2002.5</v>
      </c>
      <c r="L205" s="19">
        <f t="shared" si="0"/>
        <v>711347.51</v>
      </c>
      <c r="M205" s="8"/>
      <c r="N205" s="272"/>
    </row>
    <row r="206" spans="1:14" s="3" customFormat="1" ht="12.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275310.96999999997</v>
      </c>
      <c r="G207" s="18">
        <v>147379.49</v>
      </c>
      <c r="H207" s="18">
        <v>752506.9</v>
      </c>
      <c r="I207" s="18">
        <f>306824.39-3.3-390.96</f>
        <v>306430.13</v>
      </c>
      <c r="J207" s="18">
        <v>31770.28</v>
      </c>
      <c r="K207" s="18"/>
      <c r="L207" s="19">
        <f t="shared" si="0"/>
        <v>1513397.7699999998</v>
      </c>
      <c r="M207" s="8"/>
      <c r="N207" s="272"/>
    </row>
    <row r="208" spans="1:14" s="3" customFormat="1" ht="12.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908999.14</v>
      </c>
      <c r="I208" s="18">
        <v>121986.91</v>
      </c>
      <c r="J208" s="18"/>
      <c r="K208" s="18"/>
      <c r="L208" s="19">
        <f t="shared" si="0"/>
        <v>1030986.05</v>
      </c>
      <c r="M208" s="8"/>
      <c r="N208" s="272"/>
    </row>
    <row r="209" spans="1:14" s="3" customFormat="1" ht="12.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.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6696746.9400000004</v>
      </c>
      <c r="G211" s="41">
        <f t="shared" si="1"/>
        <v>3274173.5300000003</v>
      </c>
      <c r="H211" s="41">
        <f t="shared" si="1"/>
        <v>2161568.5</v>
      </c>
      <c r="I211" s="41">
        <f t="shared" si="1"/>
        <v>754581.78</v>
      </c>
      <c r="J211" s="41">
        <f t="shared" si="1"/>
        <v>130964.93</v>
      </c>
      <c r="K211" s="41">
        <f t="shared" si="1"/>
        <v>8087.01</v>
      </c>
      <c r="L211" s="41">
        <f t="shared" si="1"/>
        <v>13026122.690000001</v>
      </c>
      <c r="M211" s="8"/>
      <c r="N211" s="272"/>
    </row>
    <row r="212" spans="1:14" s="3" customFormat="1" ht="12.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.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.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3285587</v>
      </c>
      <c r="G215" s="18">
        <v>1125490.92</v>
      </c>
      <c r="H215" s="18">
        <v>103993.49</v>
      </c>
      <c r="I215" s="18">
        <v>62981.18</v>
      </c>
      <c r="J215" s="18">
        <v>52921.73</v>
      </c>
      <c r="K215" s="18">
        <v>500</v>
      </c>
      <c r="L215" s="19">
        <f>SUM(F215:K215)</f>
        <v>4631474.32</v>
      </c>
      <c r="M215" s="8"/>
      <c r="N215" s="272"/>
    </row>
    <row r="216" spans="1:14" s="3" customFormat="1" ht="12.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902759.86</v>
      </c>
      <c r="G216" s="18">
        <f>291483.76+92.8</f>
        <v>291576.56</v>
      </c>
      <c r="H216" s="18">
        <v>513320.42</v>
      </c>
      <c r="I216" s="18">
        <v>9194.9</v>
      </c>
      <c r="J216" s="18"/>
      <c r="K216" s="18">
        <v>2398.66</v>
      </c>
      <c r="L216" s="19">
        <f>SUM(F216:K216)</f>
        <v>1719250.3999999997</v>
      </c>
      <c r="M216" s="8"/>
      <c r="N216" s="272"/>
    </row>
    <row r="217" spans="1:14" s="3" customFormat="1" ht="12.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107275</v>
      </c>
      <c r="G218" s="18">
        <v>16896.28</v>
      </c>
      <c r="H218" s="18">
        <v>8610</v>
      </c>
      <c r="I218" s="18">
        <v>1296.9000000000001</v>
      </c>
      <c r="J218" s="18">
        <v>2985.7</v>
      </c>
      <c r="K218" s="18">
        <v>2979.12</v>
      </c>
      <c r="L218" s="19">
        <f>SUM(F218:K218)</f>
        <v>140043</v>
      </c>
      <c r="M218" s="8"/>
      <c r="N218" s="272"/>
    </row>
    <row r="219" spans="1:14" s="3" customFormat="1" ht="12.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.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231852.88</v>
      </c>
      <c r="G220" s="18">
        <v>103332.99</v>
      </c>
      <c r="H220" s="18">
        <v>670.72</v>
      </c>
      <c r="I220" s="18">
        <v>3617.77</v>
      </c>
      <c r="J220" s="18"/>
      <c r="K220" s="18"/>
      <c r="L220" s="19">
        <f t="shared" ref="L220:L226" si="2">SUM(F220:K220)</f>
        <v>339474.36</v>
      </c>
      <c r="M220" s="8"/>
      <c r="N220" s="272"/>
    </row>
    <row r="221" spans="1:14" s="3" customFormat="1" ht="12.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68464</v>
      </c>
      <c r="G221" s="18">
        <v>45795.26</v>
      </c>
      <c r="H221" s="18">
        <v>13979.99</v>
      </c>
      <c r="I221" s="18">
        <v>6950</v>
      </c>
      <c r="J221" s="18"/>
      <c r="K221" s="18"/>
      <c r="L221" s="19">
        <f t="shared" si="2"/>
        <v>135189.25</v>
      </c>
      <c r="M221" s="8"/>
      <c r="N221" s="272"/>
    </row>
    <row r="222" spans="1:14" s="3" customFormat="1" ht="12.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207347.79</v>
      </c>
      <c r="G222" s="18">
        <v>81829.77</v>
      </c>
      <c r="H222" s="18">
        <v>80276.350000000006</v>
      </c>
      <c r="I222" s="18">
        <v>6007.54</v>
      </c>
      <c r="J222" s="18">
        <v>173.32</v>
      </c>
      <c r="K222" s="18">
        <v>3318.83</v>
      </c>
      <c r="L222" s="19">
        <f t="shared" si="2"/>
        <v>378953.60000000003</v>
      </c>
      <c r="M222" s="8"/>
      <c r="N222" s="272"/>
    </row>
    <row r="223" spans="1:14" s="3" customFormat="1" ht="12.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289917.93</v>
      </c>
      <c r="G223" s="18">
        <v>141210.72</v>
      </c>
      <c r="H223" s="18">
        <v>19294.84</v>
      </c>
      <c r="I223" s="18"/>
      <c r="J223" s="18"/>
      <c r="K223" s="18">
        <v>2599</v>
      </c>
      <c r="L223" s="19">
        <f t="shared" si="2"/>
        <v>453022.49000000005</v>
      </c>
      <c r="M223" s="8"/>
      <c r="N223" s="272"/>
    </row>
    <row r="224" spans="1:14" s="3" customFormat="1" ht="12.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165252.04</v>
      </c>
      <c r="G225" s="18">
        <v>90931.05</v>
      </c>
      <c r="H225" s="18">
        <v>287232.63</v>
      </c>
      <c r="I225" s="18">
        <f>260211.64+781.14-213.25</f>
        <v>260779.53000000003</v>
      </c>
      <c r="J225" s="18"/>
      <c r="K225" s="18"/>
      <c r="L225" s="19">
        <f t="shared" si="2"/>
        <v>804195.25</v>
      </c>
      <c r="M225" s="8"/>
      <c r="N225" s="272"/>
    </row>
    <row r="226" spans="1:14" s="3" customFormat="1" ht="12.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511605.08</v>
      </c>
      <c r="I226" s="18">
        <v>66538.31</v>
      </c>
      <c r="J226" s="18"/>
      <c r="K226" s="18"/>
      <c r="L226" s="19">
        <f t="shared" si="2"/>
        <v>578143.39</v>
      </c>
      <c r="M226" s="8"/>
      <c r="N226" s="272"/>
    </row>
    <row r="227" spans="1:14" s="3" customFormat="1" ht="12.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.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5258456.4999999991</v>
      </c>
      <c r="G229" s="41">
        <f>SUM(G215:G228)</f>
        <v>1897063.55</v>
      </c>
      <c r="H229" s="41">
        <f>SUM(H215:H228)</f>
        <v>1538983.52</v>
      </c>
      <c r="I229" s="41">
        <f>SUM(I215:I228)</f>
        <v>417366.13</v>
      </c>
      <c r="J229" s="41">
        <f>SUM(J215:J228)</f>
        <v>56080.75</v>
      </c>
      <c r="K229" s="41">
        <f t="shared" si="3"/>
        <v>11795.61</v>
      </c>
      <c r="L229" s="41">
        <f t="shared" si="3"/>
        <v>9179746.0600000005</v>
      </c>
      <c r="M229" s="8"/>
      <c r="N229" s="272"/>
    </row>
    <row r="230" spans="1:14" s="3" customFormat="1" ht="12.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.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.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2924899.15</v>
      </c>
      <c r="G233" s="18">
        <v>1421580.2</v>
      </c>
      <c r="H233" s="18">
        <v>125556.63</v>
      </c>
      <c r="I233" s="18">
        <v>132043.13</v>
      </c>
      <c r="J233" s="18">
        <v>155112.57</v>
      </c>
      <c r="K233" s="18">
        <v>7206</v>
      </c>
      <c r="L233" s="19">
        <f>SUM(F233:K233)</f>
        <v>4766397.68</v>
      </c>
      <c r="M233" s="8"/>
      <c r="N233" s="272"/>
    </row>
    <row r="234" spans="1:14" s="3" customFormat="1" ht="12.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719117.02</v>
      </c>
      <c r="G234" s="18">
        <f>190639.61-1314.69+1406.38</f>
        <v>190731.3</v>
      </c>
      <c r="H234" s="18">
        <v>745668.19</v>
      </c>
      <c r="I234" s="18">
        <v>10048.89</v>
      </c>
      <c r="J234" s="18">
        <v>1189.46</v>
      </c>
      <c r="K234" s="18"/>
      <c r="L234" s="19">
        <f>SUM(F234:K234)</f>
        <v>1666754.8599999999</v>
      </c>
      <c r="M234" s="8"/>
      <c r="N234" s="272"/>
    </row>
    <row r="235" spans="1:14" s="3" customFormat="1" ht="12.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42881.1</v>
      </c>
      <c r="I235" s="18"/>
      <c r="J235" s="18"/>
      <c r="K235" s="18"/>
      <c r="L235" s="19">
        <f>SUM(F235:K235)</f>
        <v>42881.1</v>
      </c>
      <c r="M235" s="8"/>
      <c r="N235" s="272"/>
    </row>
    <row r="236" spans="1:14" s="3" customFormat="1" ht="12.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175151.98</v>
      </c>
      <c r="G236" s="18">
        <v>26574.31</v>
      </c>
      <c r="H236" s="18">
        <v>66258.41</v>
      </c>
      <c r="I236" s="18">
        <v>25045.46</v>
      </c>
      <c r="J236" s="18">
        <v>17023.64</v>
      </c>
      <c r="K236" s="18">
        <v>13497</v>
      </c>
      <c r="L236" s="19">
        <f>SUM(F236:K236)</f>
        <v>323550.80000000005</v>
      </c>
      <c r="M236" s="8"/>
      <c r="N236" s="272"/>
    </row>
    <row r="237" spans="1:14" s="3" customFormat="1" ht="12.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.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322904.05</v>
      </c>
      <c r="G238" s="18">
        <v>128460.89</v>
      </c>
      <c r="H238" s="18">
        <v>1997</v>
      </c>
      <c r="I238" s="18">
        <v>6737.27</v>
      </c>
      <c r="J238" s="18">
        <v>110</v>
      </c>
      <c r="K238" s="18"/>
      <c r="L238" s="19">
        <f t="shared" ref="L238:L244" si="4">SUM(F238:K238)</f>
        <v>460209.21</v>
      </c>
      <c r="M238" s="8"/>
      <c r="N238" s="272"/>
    </row>
    <row r="239" spans="1:14" s="3" customFormat="1" ht="12.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138158.56</v>
      </c>
      <c r="G239" s="18">
        <v>62264.23</v>
      </c>
      <c r="H239" s="18">
        <v>18604.82</v>
      </c>
      <c r="I239" s="18">
        <v>34267.410000000003</v>
      </c>
      <c r="J239" s="18">
        <v>7635.86</v>
      </c>
      <c r="K239" s="18"/>
      <c r="L239" s="19">
        <f t="shared" si="4"/>
        <v>260930.88</v>
      </c>
      <c r="M239" s="8"/>
      <c r="N239" s="272"/>
    </row>
    <row r="240" spans="1:14" s="3" customFormat="1" ht="12.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276463.71000000002</v>
      </c>
      <c r="G240" s="18">
        <v>109106.35</v>
      </c>
      <c r="H240" s="18">
        <v>107035.15</v>
      </c>
      <c r="I240" s="18">
        <v>8010.04</v>
      </c>
      <c r="J240" s="18">
        <v>231.08</v>
      </c>
      <c r="K240" s="18">
        <v>4425.1000000000004</v>
      </c>
      <c r="L240" s="19">
        <f t="shared" si="4"/>
        <v>505271.43000000005</v>
      </c>
      <c r="M240" s="8"/>
      <c r="N240" s="272"/>
    </row>
    <row r="241" spans="1:14" s="3" customFormat="1" ht="12.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469258.83</v>
      </c>
      <c r="G241" s="18">
        <v>221156.62</v>
      </c>
      <c r="H241" s="18">
        <v>33573.360000000001</v>
      </c>
      <c r="I241" s="18">
        <v>14114.53</v>
      </c>
      <c r="J241" s="18"/>
      <c r="K241" s="18">
        <v>9175</v>
      </c>
      <c r="L241" s="19">
        <f t="shared" si="4"/>
        <v>747278.34</v>
      </c>
      <c r="M241" s="8"/>
      <c r="N241" s="272"/>
    </row>
    <row r="242" spans="1:14" s="3" customFormat="1" ht="12.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205959.8</v>
      </c>
      <c r="G243" s="18">
        <v>92299.27</v>
      </c>
      <c r="H243" s="18">
        <v>442348.52</v>
      </c>
      <c r="I243" s="18">
        <f>364055.94+341.5-284.34</f>
        <v>364113.1</v>
      </c>
      <c r="J243" s="18"/>
      <c r="K243" s="18"/>
      <c r="L243" s="19">
        <f t="shared" si="4"/>
        <v>1104720.69</v>
      </c>
      <c r="M243" s="8"/>
      <c r="N243" s="272"/>
    </row>
    <row r="244" spans="1:14" s="3" customFormat="1" ht="12.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761706.58</v>
      </c>
      <c r="I244" s="18">
        <v>88717.75</v>
      </c>
      <c r="J244" s="18"/>
      <c r="K244" s="18"/>
      <c r="L244" s="19">
        <f t="shared" si="4"/>
        <v>850424.33</v>
      </c>
      <c r="M244" s="8"/>
      <c r="N244" s="272"/>
    </row>
    <row r="245" spans="1:14" s="3" customFormat="1" ht="12.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.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5231913.0999999996</v>
      </c>
      <c r="G247" s="41">
        <f t="shared" si="5"/>
        <v>2252173.17</v>
      </c>
      <c r="H247" s="41">
        <f t="shared" si="5"/>
        <v>2345629.7599999998</v>
      </c>
      <c r="I247" s="41">
        <f t="shared" si="5"/>
        <v>683097.58</v>
      </c>
      <c r="J247" s="41">
        <f t="shared" si="5"/>
        <v>181302.60999999996</v>
      </c>
      <c r="K247" s="41">
        <f t="shared" si="5"/>
        <v>34303.1</v>
      </c>
      <c r="L247" s="41">
        <f t="shared" si="5"/>
        <v>10728419.319999998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.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13000</v>
      </c>
      <c r="G251" s="18">
        <v>2852.4</v>
      </c>
      <c r="H251" s="18"/>
      <c r="I251" s="18"/>
      <c r="J251" s="18"/>
      <c r="K251" s="18"/>
      <c r="L251" s="19">
        <f t="shared" si="6"/>
        <v>15852.4</v>
      </c>
      <c r="M251" s="8"/>
      <c r="N251" s="272"/>
    </row>
    <row r="252" spans="1:14" s="3" customFormat="1" ht="12.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13000</v>
      </c>
      <c r="G256" s="41">
        <f t="shared" si="7"/>
        <v>2852.4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15852.4</v>
      </c>
      <c r="M256" s="8"/>
      <c r="N256" s="272"/>
    </row>
    <row r="257" spans="1:14" s="3" customFormat="1" ht="12.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17200116.539999999</v>
      </c>
      <c r="G257" s="41">
        <f t="shared" si="8"/>
        <v>7426262.6500000004</v>
      </c>
      <c r="H257" s="41">
        <f t="shared" si="8"/>
        <v>6046181.7799999993</v>
      </c>
      <c r="I257" s="41">
        <f t="shared" si="8"/>
        <v>1855045.4900000002</v>
      </c>
      <c r="J257" s="41">
        <f t="shared" si="8"/>
        <v>368348.28999999992</v>
      </c>
      <c r="K257" s="41">
        <f t="shared" si="8"/>
        <v>54185.72</v>
      </c>
      <c r="L257" s="41">
        <f t="shared" si="8"/>
        <v>32950140.469999999</v>
      </c>
      <c r="M257" s="8"/>
      <c r="N257" s="272"/>
    </row>
    <row r="258" spans="1:14" s="3" customFormat="1" ht="12.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.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.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1747150.64</v>
      </c>
      <c r="L260" s="19">
        <f>SUM(F260:K260)</f>
        <v>1747150.64</v>
      </c>
      <c r="M260" s="8"/>
      <c r="N260" s="272"/>
    </row>
    <row r="261" spans="1:14" ht="12.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760546.17</v>
      </c>
      <c r="L261" s="19">
        <f>SUM(F261:K261)</f>
        <v>760546.17</v>
      </c>
      <c r="N261" s="270"/>
    </row>
    <row r="262" spans="1:14" ht="12.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.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36072.19</v>
      </c>
      <c r="L263" s="19">
        <f>SUM(F263:K263)</f>
        <v>36072.19</v>
      </c>
      <c r="N263" s="270"/>
    </row>
    <row r="264" spans="1:14" ht="12.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.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2543769</v>
      </c>
      <c r="L270" s="41">
        <f t="shared" si="9"/>
        <v>2543769</v>
      </c>
      <c r="N270" s="270"/>
    </row>
    <row r="271" spans="1:14" s="3" customFormat="1" ht="12.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17200116.539999999</v>
      </c>
      <c r="G271" s="42">
        <f t="shared" si="11"/>
        <v>7426262.6500000004</v>
      </c>
      <c r="H271" s="42">
        <f t="shared" si="11"/>
        <v>6046181.7799999993</v>
      </c>
      <c r="I271" s="42">
        <f t="shared" si="11"/>
        <v>1855045.4900000002</v>
      </c>
      <c r="J271" s="42">
        <f t="shared" si="11"/>
        <v>368348.28999999992</v>
      </c>
      <c r="K271" s="42">
        <f t="shared" si="11"/>
        <v>2597954.7200000002</v>
      </c>
      <c r="L271" s="42">
        <f t="shared" si="11"/>
        <v>35493909.469999999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.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.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94124.57</v>
      </c>
      <c r="G276" s="18">
        <v>40407.47</v>
      </c>
      <c r="H276" s="18">
        <v>77405.070000000007</v>
      </c>
      <c r="I276" s="18">
        <v>65644.22</v>
      </c>
      <c r="J276" s="18">
        <v>15446.91</v>
      </c>
      <c r="K276" s="18"/>
      <c r="L276" s="19">
        <f>SUM(F276:K276)</f>
        <v>293028.24</v>
      </c>
      <c r="M276" s="8"/>
      <c r="N276" s="272"/>
    </row>
    <row r="277" spans="1:14" s="3" customFormat="1" ht="12.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77593.119999999995</v>
      </c>
      <c r="G277" s="18">
        <v>34995.86</v>
      </c>
      <c r="H277" s="18">
        <v>465.83</v>
      </c>
      <c r="I277" s="18">
        <v>1549.95</v>
      </c>
      <c r="J277" s="18">
        <v>24251.919999999998</v>
      </c>
      <c r="K277" s="18"/>
      <c r="L277" s="19">
        <f>SUM(F277:K277)</f>
        <v>138856.68</v>
      </c>
      <c r="M277" s="8"/>
      <c r="N277" s="272"/>
    </row>
    <row r="278" spans="1:14" s="3" customFormat="1" ht="12.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5600</v>
      </c>
      <c r="G279" s="18">
        <v>453.6</v>
      </c>
      <c r="H279" s="18"/>
      <c r="I279" s="18"/>
      <c r="J279" s="18"/>
      <c r="K279" s="18"/>
      <c r="L279" s="19">
        <f>SUM(F279:K279)</f>
        <v>6053.6</v>
      </c>
      <c r="M279" s="8"/>
      <c r="N279" s="272"/>
    </row>
    <row r="280" spans="1:14" s="3" customFormat="1" ht="12.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.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45488.639999999999</v>
      </c>
      <c r="G281" s="18">
        <v>8604.41</v>
      </c>
      <c r="H281" s="18"/>
      <c r="I281" s="18">
        <v>2774.96</v>
      </c>
      <c r="J281" s="18"/>
      <c r="K281" s="18"/>
      <c r="L281" s="19">
        <f t="shared" ref="L281:L287" si="12">SUM(F281:K281)</f>
        <v>56868.01</v>
      </c>
      <c r="M281" s="8"/>
      <c r="N281" s="272"/>
    </row>
    <row r="282" spans="1:14" s="3" customFormat="1" ht="12.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21426.1</v>
      </c>
      <c r="G282" s="18">
        <v>8565.74</v>
      </c>
      <c r="H282" s="18">
        <v>29551.279999999999</v>
      </c>
      <c r="I282" s="18">
        <v>673.21</v>
      </c>
      <c r="J282" s="18"/>
      <c r="K282" s="18"/>
      <c r="L282" s="19">
        <f t="shared" si="12"/>
        <v>60216.329999999994</v>
      </c>
      <c r="M282" s="8"/>
      <c r="N282" s="272"/>
    </row>
    <row r="283" spans="1:14" s="3" customFormat="1" ht="12.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8649.5300000000007</v>
      </c>
      <c r="I283" s="18"/>
      <c r="J283" s="18"/>
      <c r="K283" s="18"/>
      <c r="L283" s="19">
        <f t="shared" si="12"/>
        <v>8649.5300000000007</v>
      </c>
      <c r="M283" s="8"/>
      <c r="N283" s="272"/>
    </row>
    <row r="284" spans="1:14" s="3" customFormat="1" ht="12.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18058.61</v>
      </c>
      <c r="L288" s="19">
        <f>SUM(F288:K288)</f>
        <v>18058.61</v>
      </c>
      <c r="M288" s="8"/>
      <c r="N288" s="272"/>
    </row>
    <row r="289" spans="1:14" s="3" customFormat="1" ht="12.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.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244232.43000000002</v>
      </c>
      <c r="G290" s="42">
        <f t="shared" si="13"/>
        <v>93027.080000000016</v>
      </c>
      <c r="H290" s="42">
        <f t="shared" si="13"/>
        <v>116071.71</v>
      </c>
      <c r="I290" s="42">
        <f t="shared" si="13"/>
        <v>70642.340000000011</v>
      </c>
      <c r="J290" s="42">
        <f t="shared" si="13"/>
        <v>39698.83</v>
      </c>
      <c r="K290" s="42">
        <f t="shared" si="13"/>
        <v>18058.61</v>
      </c>
      <c r="L290" s="41">
        <f t="shared" si="13"/>
        <v>581731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.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.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1200</v>
      </c>
      <c r="I295" s="18">
        <v>459.03</v>
      </c>
      <c r="J295" s="18">
        <v>10876.2</v>
      </c>
      <c r="K295" s="18"/>
      <c r="L295" s="19">
        <f>SUM(F295:K295)</f>
        <v>12535.230000000001</v>
      </c>
      <c r="M295" s="8"/>
      <c r="N295" s="272"/>
    </row>
    <row r="296" spans="1:14" s="3" customFormat="1" ht="12.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42323.519999999997</v>
      </c>
      <c r="G296" s="18">
        <v>16381.05</v>
      </c>
      <c r="H296" s="18"/>
      <c r="I296" s="18">
        <v>725.51</v>
      </c>
      <c r="J296" s="18">
        <v>13228.32</v>
      </c>
      <c r="K296" s="18"/>
      <c r="L296" s="19">
        <f>SUM(F296:K296)</f>
        <v>72658.399999999994</v>
      </c>
      <c r="M296" s="8"/>
      <c r="N296" s="272"/>
    </row>
    <row r="297" spans="1:14" s="3" customFormat="1" ht="12.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365.55</v>
      </c>
      <c r="J298" s="18"/>
      <c r="K298" s="18"/>
      <c r="L298" s="19">
        <f>SUM(F298:K298)</f>
        <v>365.55</v>
      </c>
      <c r="M298" s="8"/>
      <c r="N298" s="272"/>
    </row>
    <row r="299" spans="1:14" s="3" customFormat="1" ht="12.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.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21292.560000000001</v>
      </c>
      <c r="G300" s="18">
        <v>4027.6</v>
      </c>
      <c r="H300" s="18"/>
      <c r="I300" s="18"/>
      <c r="J300" s="18"/>
      <c r="K300" s="18"/>
      <c r="L300" s="19">
        <f t="shared" ref="L300:L306" si="14">SUM(F300:K300)</f>
        <v>25320.16</v>
      </c>
      <c r="M300" s="8"/>
      <c r="N300" s="272"/>
    </row>
    <row r="301" spans="1:14" s="3" customFormat="1" ht="12.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13482.06</v>
      </c>
      <c r="I301" s="18">
        <v>118.68</v>
      </c>
      <c r="J301" s="18"/>
      <c r="K301" s="18"/>
      <c r="L301" s="19">
        <f t="shared" si="14"/>
        <v>13600.74</v>
      </c>
      <c r="M301" s="8"/>
      <c r="N301" s="272"/>
    </row>
    <row r="302" spans="1:14" s="3" customFormat="1" ht="12.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>
        <v>4717.93</v>
      </c>
      <c r="I302" s="18"/>
      <c r="J302" s="18"/>
      <c r="K302" s="18"/>
      <c r="L302" s="19">
        <f t="shared" si="14"/>
        <v>4717.93</v>
      </c>
      <c r="M302" s="8"/>
      <c r="N302" s="272"/>
    </row>
    <row r="303" spans="1:14" s="3" customFormat="1" ht="12.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>
        <v>4040.61</v>
      </c>
      <c r="L307" s="19">
        <f>SUM(F307:K307)</f>
        <v>4040.61</v>
      </c>
      <c r="M307" s="8"/>
      <c r="N307" s="272"/>
    </row>
    <row r="308" spans="1:14" s="3" customFormat="1" ht="12.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.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63616.08</v>
      </c>
      <c r="G309" s="42">
        <f t="shared" si="15"/>
        <v>20408.649999999998</v>
      </c>
      <c r="H309" s="42">
        <f t="shared" si="15"/>
        <v>19399.989999999998</v>
      </c>
      <c r="I309" s="42">
        <f t="shared" si="15"/>
        <v>1668.77</v>
      </c>
      <c r="J309" s="42">
        <f t="shared" si="15"/>
        <v>24104.52</v>
      </c>
      <c r="K309" s="42">
        <f t="shared" si="15"/>
        <v>4040.61</v>
      </c>
      <c r="L309" s="41">
        <f t="shared" si="15"/>
        <v>133238.62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.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.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27350</v>
      </c>
      <c r="G314" s="18">
        <v>5978.03</v>
      </c>
      <c r="H314" s="18">
        <v>5840.57</v>
      </c>
      <c r="I314" s="18">
        <v>3836.22</v>
      </c>
      <c r="J314" s="18">
        <v>12118.6</v>
      </c>
      <c r="K314" s="18"/>
      <c r="L314" s="19">
        <f>SUM(F314:K314)</f>
        <v>55123.42</v>
      </c>
      <c r="M314" s="8"/>
      <c r="N314" s="272"/>
    </row>
    <row r="315" spans="1:14" s="3" customFormat="1" ht="12.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56431.360000000001</v>
      </c>
      <c r="G315" s="18">
        <v>23082.37</v>
      </c>
      <c r="H315" s="18"/>
      <c r="I315" s="18">
        <v>1022.31</v>
      </c>
      <c r="J315" s="18">
        <v>17637.759999999998</v>
      </c>
      <c r="K315" s="18"/>
      <c r="L315" s="19">
        <f>SUM(F315:K315)</f>
        <v>98173.799999999988</v>
      </c>
      <c r="M315" s="8"/>
      <c r="N315" s="272"/>
    </row>
    <row r="316" spans="1:14" s="3" customFormat="1" ht="12.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.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30003.14</v>
      </c>
      <c r="G319" s="18">
        <v>5675.25</v>
      </c>
      <c r="H319" s="18"/>
      <c r="I319" s="18"/>
      <c r="J319" s="18"/>
      <c r="K319" s="18"/>
      <c r="L319" s="19">
        <f t="shared" ref="L319:L325" si="16">SUM(F319:K319)</f>
        <v>35678.39</v>
      </c>
      <c r="M319" s="8"/>
      <c r="N319" s="272"/>
    </row>
    <row r="320" spans="1:14" s="3" customFormat="1" ht="12.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37175</v>
      </c>
      <c r="G320" s="18">
        <v>5871</v>
      </c>
      <c r="H320" s="18">
        <v>18086.28</v>
      </c>
      <c r="I320" s="18">
        <v>355.79</v>
      </c>
      <c r="J320" s="18"/>
      <c r="K320" s="18"/>
      <c r="L320" s="19">
        <f t="shared" si="16"/>
        <v>61488.07</v>
      </c>
      <c r="M320" s="8"/>
      <c r="N320" s="272"/>
    </row>
    <row r="321" spans="1:14" s="3" customFormat="1" ht="12.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v>6290.57</v>
      </c>
      <c r="I321" s="18"/>
      <c r="J321" s="18"/>
      <c r="K321" s="18"/>
      <c r="L321" s="19">
        <f t="shared" si="16"/>
        <v>6290.57</v>
      </c>
      <c r="M321" s="8"/>
      <c r="N321" s="272"/>
    </row>
    <row r="322" spans="1:14" s="3" customFormat="1" ht="12.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>
        <v>6670.5</v>
      </c>
      <c r="L326" s="19">
        <f>SUM(F326:K326)</f>
        <v>6670.5</v>
      </c>
      <c r="M326" s="8"/>
      <c r="N326" s="272"/>
    </row>
    <row r="327" spans="1:14" s="3" customFormat="1" ht="12.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.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150959.5</v>
      </c>
      <c r="G328" s="42">
        <f t="shared" si="17"/>
        <v>40606.649999999994</v>
      </c>
      <c r="H328" s="42">
        <f t="shared" si="17"/>
        <v>30217.42</v>
      </c>
      <c r="I328" s="42">
        <f t="shared" si="17"/>
        <v>5214.32</v>
      </c>
      <c r="J328" s="42">
        <f t="shared" si="17"/>
        <v>29756.36</v>
      </c>
      <c r="K328" s="42">
        <f t="shared" si="17"/>
        <v>6670.5</v>
      </c>
      <c r="L328" s="41">
        <f t="shared" si="17"/>
        <v>263424.75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.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458808.01</v>
      </c>
      <c r="G338" s="41">
        <f t="shared" si="20"/>
        <v>154042.38</v>
      </c>
      <c r="H338" s="41">
        <f t="shared" si="20"/>
        <v>165689.12</v>
      </c>
      <c r="I338" s="41">
        <f t="shared" si="20"/>
        <v>77525.430000000022</v>
      </c>
      <c r="J338" s="41">
        <f t="shared" si="20"/>
        <v>93559.71</v>
      </c>
      <c r="K338" s="41">
        <f t="shared" si="20"/>
        <v>28769.72</v>
      </c>
      <c r="L338" s="41">
        <f t="shared" si="20"/>
        <v>978394.37</v>
      </c>
      <c r="M338" s="8"/>
      <c r="N338" s="272"/>
    </row>
    <row r="339" spans="1:43" s="3" customFormat="1" ht="12.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.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.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458808.01</v>
      </c>
      <c r="G352" s="41">
        <f>G338</f>
        <v>154042.38</v>
      </c>
      <c r="H352" s="41">
        <f>H338</f>
        <v>165689.12</v>
      </c>
      <c r="I352" s="41">
        <f>I338</f>
        <v>77525.430000000022</v>
      </c>
      <c r="J352" s="41">
        <f>J338</f>
        <v>93559.71</v>
      </c>
      <c r="K352" s="47">
        <f>K338+K351</f>
        <v>28769.72</v>
      </c>
      <c r="L352" s="41">
        <f>L338+L351</f>
        <v>978394.37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.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.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.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283727.46+12925.74</f>
        <v>296653.2</v>
      </c>
      <c r="I358" s="18"/>
      <c r="J358" s="18">
        <v>10323.17</v>
      </c>
      <c r="K358" s="18">
        <v>19.45</v>
      </c>
      <c r="L358" s="13">
        <f>SUM(F358:K358)</f>
        <v>306995.82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152772.24+7050.41</f>
        <v>159822.65</v>
      </c>
      <c r="I359" s="18"/>
      <c r="J359" s="18"/>
      <c r="K359" s="18">
        <v>5.75</v>
      </c>
      <c r="L359" s="19">
        <f>SUM(F359:K359)</f>
        <v>159828.4</v>
      </c>
      <c r="M359" s="8"/>
      <c r="N359" s="272"/>
    </row>
    <row r="360" spans="1:22" s="3" customFormat="1" ht="12.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208356.66+9400.54</f>
        <v>217757.2</v>
      </c>
      <c r="I360" s="18"/>
      <c r="J360" s="18">
        <v>3927.99</v>
      </c>
      <c r="K360" s="18">
        <v>55.42</v>
      </c>
      <c r="L360" s="19">
        <f>SUM(F360:K360)</f>
        <v>221740.61000000002</v>
      </c>
      <c r="M360" s="8"/>
      <c r="N360" s="272"/>
    </row>
    <row r="361" spans="1:22" s="3" customFormat="1" ht="12.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674233.05</v>
      </c>
      <c r="I362" s="47">
        <f t="shared" si="22"/>
        <v>0</v>
      </c>
      <c r="J362" s="47">
        <f t="shared" si="22"/>
        <v>14251.16</v>
      </c>
      <c r="K362" s="47">
        <f t="shared" si="22"/>
        <v>80.62</v>
      </c>
      <c r="L362" s="47">
        <f t="shared" si="22"/>
        <v>688564.83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.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.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.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.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.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.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.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3883.62</v>
      </c>
      <c r="I396" s="18"/>
      <c r="J396" s="24" t="s">
        <v>289</v>
      </c>
      <c r="K396" s="24" t="s">
        <v>289</v>
      </c>
      <c r="L396" s="56">
        <f t="shared" si="26"/>
        <v>3883.62</v>
      </c>
      <c r="M396" s="8"/>
      <c r="N396" s="272"/>
    </row>
    <row r="397" spans="1:14" s="3" customFormat="1" ht="12.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747.08</v>
      </c>
      <c r="I397" s="18"/>
      <c r="J397" s="24" t="s">
        <v>289</v>
      </c>
      <c r="K397" s="24" t="s">
        <v>289</v>
      </c>
      <c r="L397" s="56">
        <f t="shared" si="26"/>
        <v>747.08</v>
      </c>
      <c r="M397" s="8"/>
      <c r="N397" s="272"/>
    </row>
    <row r="398" spans="1:14" s="3" customFormat="1" ht="12.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>
        <v>16239.85</v>
      </c>
      <c r="J400" s="24" t="s">
        <v>289</v>
      </c>
      <c r="K400" s="24" t="s">
        <v>289</v>
      </c>
      <c r="L400" s="56">
        <f t="shared" si="26"/>
        <v>16239.85</v>
      </c>
      <c r="M400" s="8"/>
      <c r="N400" s="272"/>
    </row>
    <row r="401" spans="1:21" s="3" customFormat="1" ht="12.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4630.7</v>
      </c>
      <c r="I401" s="47">
        <f>SUM(I395:I400)</f>
        <v>16239.85</v>
      </c>
      <c r="J401" s="45" t="s">
        <v>289</v>
      </c>
      <c r="K401" s="45" t="s">
        <v>289</v>
      </c>
      <c r="L401" s="47">
        <f>SUM(L395:L400)</f>
        <v>20870.55</v>
      </c>
      <c r="M401" s="8"/>
      <c r="N401" s="272"/>
    </row>
    <row r="402" spans="1:21" s="3" customFormat="1" ht="12.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.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.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.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.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.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.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4630.7</v>
      </c>
      <c r="I408" s="47">
        <f>I393+I401+I407</f>
        <v>16239.85</v>
      </c>
      <c r="J408" s="24" t="s">
        <v>289</v>
      </c>
      <c r="K408" s="24" t="s">
        <v>289</v>
      </c>
      <c r="L408" s="47">
        <f>L393+L401+L407</f>
        <v>20870.55</v>
      </c>
      <c r="M408" s="8"/>
      <c r="N408" s="272"/>
    </row>
    <row r="409" spans="1:21" s="3" customFormat="1" ht="12.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.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.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.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.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.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.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.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.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.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.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.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.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.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.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.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.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.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.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.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.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.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.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.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.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.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1752834.12</v>
      </c>
      <c r="G440" s="18"/>
      <c r="H440" s="18"/>
      <c r="I440" s="56">
        <f t="shared" si="33"/>
        <v>1752834.12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.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2</v>
      </c>
      <c r="G441" s="18"/>
      <c r="H441" s="18"/>
      <c r="I441" s="56">
        <f t="shared" si="33"/>
        <v>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.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.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.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.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.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1752836.12</v>
      </c>
      <c r="G446" s="13">
        <f>SUM(G439:G445)</f>
        <v>0</v>
      </c>
      <c r="H446" s="13">
        <f>SUM(H439:H445)</f>
        <v>0</v>
      </c>
      <c r="I446" s="13">
        <f>SUM(I439:I445)</f>
        <v>1752836.12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.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.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.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.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.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.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.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.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1669246.82+81424.25-2465.65+4630.7</f>
        <v>1752836.12</v>
      </c>
      <c r="G459" s="18"/>
      <c r="H459" s="18"/>
      <c r="I459" s="56">
        <f t="shared" si="34"/>
        <v>1752836.12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1752836.12</v>
      </c>
      <c r="G460" s="83">
        <f>SUM(G454:G459)</f>
        <v>0</v>
      </c>
      <c r="H460" s="83">
        <f>SUM(H454:H459)</f>
        <v>0</v>
      </c>
      <c r="I460" s="83">
        <f>SUM(I454:I459)</f>
        <v>1752836.12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.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1752836.12</v>
      </c>
      <c r="G461" s="42">
        <f>G452+G460</f>
        <v>0</v>
      </c>
      <c r="H461" s="42">
        <f>H452+H460</f>
        <v>0</v>
      </c>
      <c r="I461" s="42">
        <f>I452+I460</f>
        <v>1752836.12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F51-F468+F472</f>
        <v>2640643.2199999951</v>
      </c>
      <c r="G465" s="18">
        <f>G51-G468+G472</f>
        <v>12066.409999999916</v>
      </c>
      <c r="H465" s="18">
        <f>H51-H468+H472</f>
        <v>-43489.70000000007</v>
      </c>
      <c r="I465" s="18">
        <f>I51-I468+I472</f>
        <v>104905.26</v>
      </c>
      <c r="J465" s="18">
        <f>J51-J468+J472</f>
        <v>1731965.57</v>
      </c>
      <c r="K465" s="24" t="s">
        <v>289</v>
      </c>
      <c r="L465" s="24" t="s">
        <v>289</v>
      </c>
      <c r="N465" s="271"/>
    </row>
    <row r="466" spans="1:14" s="52" customFormat="1" ht="12.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.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.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35398255.700000003</v>
      </c>
      <c r="G468" s="18">
        <f>G193</f>
        <v>688564.83000000007</v>
      </c>
      <c r="H468" s="18">
        <f>H193</f>
        <v>1029734.0700000001</v>
      </c>
      <c r="I468" s="18">
        <f>I193</f>
        <v>38.479999999999997</v>
      </c>
      <c r="J468" s="18">
        <f>J193</f>
        <v>20870.55</v>
      </c>
      <c r="K468" s="24" t="s">
        <v>289</v>
      </c>
      <c r="L468" s="24" t="s">
        <v>289</v>
      </c>
      <c r="N468" s="271"/>
    </row>
    <row r="469" spans="1:14" s="52" customFormat="1" ht="12.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.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35398255.700000003</v>
      </c>
      <c r="G470" s="53">
        <f>SUM(G468:G469)</f>
        <v>688564.83000000007</v>
      </c>
      <c r="H470" s="53">
        <f>SUM(H468:H469)</f>
        <v>1029734.0700000001</v>
      </c>
      <c r="I470" s="53">
        <f>SUM(I468:I469)</f>
        <v>38.479999999999997</v>
      </c>
      <c r="J470" s="53">
        <f>SUM(J468:J469)</f>
        <v>20870.55</v>
      </c>
      <c r="K470" s="24" t="s">
        <v>289</v>
      </c>
      <c r="L470" s="24" t="s">
        <v>289</v>
      </c>
      <c r="N470" s="271"/>
    </row>
    <row r="471" spans="1:14" s="52" customFormat="1" ht="12.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.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35493909.469999999</v>
      </c>
      <c r="G472" s="18">
        <f>L362</f>
        <v>688564.83</v>
      </c>
      <c r="H472" s="18">
        <f>L352</f>
        <v>978394.37</v>
      </c>
      <c r="I472" s="18">
        <f>L382</f>
        <v>0</v>
      </c>
      <c r="J472" s="18"/>
      <c r="K472" s="24" t="s">
        <v>289</v>
      </c>
      <c r="L472" s="24" t="s">
        <v>289</v>
      </c>
      <c r="N472" s="271"/>
    </row>
    <row r="473" spans="1:14" s="52" customFormat="1" ht="12.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.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35493909.469999999</v>
      </c>
      <c r="G474" s="53">
        <f>SUM(G472:G473)</f>
        <v>688564.83</v>
      </c>
      <c r="H474" s="53">
        <f>SUM(H472:H473)</f>
        <v>978394.37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.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.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2544989.450000003</v>
      </c>
      <c r="G476" s="53">
        <f>(G465+G470)- G474</f>
        <v>12066.410000000033</v>
      </c>
      <c r="H476" s="53">
        <f>(H465+H470)- H474</f>
        <v>7850</v>
      </c>
      <c r="I476" s="53">
        <f>(I465+I470)- I474</f>
        <v>104943.73999999999</v>
      </c>
      <c r="J476" s="53">
        <f>(J465+J470)- J474</f>
        <v>1752836.12</v>
      </c>
      <c r="K476" s="24" t="s">
        <v>289</v>
      </c>
      <c r="L476" s="24" t="s">
        <v>289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.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>
        <v>15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.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4" t="s">
        <v>911</v>
      </c>
      <c r="G491" s="155" t="s">
        <v>912</v>
      </c>
      <c r="H491" s="275" t="s">
        <v>913</v>
      </c>
      <c r="I491" s="275"/>
      <c r="J491" s="154"/>
      <c r="K491" s="24" t="s">
        <v>289</v>
      </c>
      <c r="L491" s="24" t="s">
        <v>289</v>
      </c>
      <c r="N491" s="271"/>
    </row>
    <row r="492" spans="1:14" s="52" customFormat="1" ht="12.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4" t="s">
        <v>914</v>
      </c>
      <c r="G492" s="155" t="s">
        <v>915</v>
      </c>
      <c r="H492" s="274" t="s">
        <v>916</v>
      </c>
      <c r="I492" s="274"/>
      <c r="J492" s="154"/>
      <c r="K492" s="24" t="s">
        <v>289</v>
      </c>
      <c r="L492" s="24" t="s">
        <v>289</v>
      </c>
      <c r="N492" s="271"/>
    </row>
    <row r="493" spans="1:14" s="52" customFormat="1" ht="12.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3259044</v>
      </c>
      <c r="G493" s="18">
        <v>24450150</v>
      </c>
      <c r="H493" s="18">
        <v>2231283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.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3.69</v>
      </c>
      <c r="G494" s="18">
        <v>4.6100000000000003</v>
      </c>
      <c r="H494" s="18">
        <v>4.375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.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484786.65</v>
      </c>
      <c r="G495" s="18">
        <v>14229830.5</v>
      </c>
      <c r="H495" s="18">
        <v>1785026.4</v>
      </c>
      <c r="I495" s="18"/>
      <c r="J495" s="18"/>
      <c r="K495" s="53">
        <f>SUM(F495:J495)</f>
        <v>16499643.550000001</v>
      </c>
      <c r="L495" s="24" t="s">
        <v>289</v>
      </c>
      <c r="N495" s="271"/>
    </row>
    <row r="496" spans="1:14" s="52" customFormat="1" ht="12.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.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241914.49+5923.73</f>
        <v>247838.22</v>
      </c>
      <c r="G497" s="18">
        <v>1350560.22</v>
      </c>
      <c r="H497" s="18">
        <v>148752.20000000001</v>
      </c>
      <c r="I497" s="18"/>
      <c r="J497" s="18"/>
      <c r="K497" s="53">
        <f t="shared" si="35"/>
        <v>1747150.64</v>
      </c>
      <c r="L497" s="24" t="s">
        <v>289</v>
      </c>
      <c r="N497" s="271"/>
    </row>
    <row r="498" spans="1:14" s="52" customFormat="1" ht="12.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236948.43000000002</v>
      </c>
      <c r="G498" s="204">
        <f>G495-G497</f>
        <v>12879270.279999999</v>
      </c>
      <c r="H498" s="204">
        <f>H495-H497</f>
        <v>1636274.2</v>
      </c>
      <c r="I498" s="204"/>
      <c r="J498" s="204"/>
      <c r="K498" s="205">
        <f t="shared" si="35"/>
        <v>14752492.909999998</v>
      </c>
      <c r="L498" s="206" t="s">
        <v>289</v>
      </c>
      <c r="N498" s="271"/>
    </row>
    <row r="499" spans="1:14" s="52" customFormat="1" ht="12.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152551.57</v>
      </c>
      <c r="G499" s="18">
        <v>11711322.25</v>
      </c>
      <c r="H499" s="18">
        <v>468569.44</v>
      </c>
      <c r="I499" s="18"/>
      <c r="J499" s="18"/>
      <c r="K499" s="53">
        <f t="shared" si="35"/>
        <v>12332443.26</v>
      </c>
      <c r="L499" s="24" t="s">
        <v>289</v>
      </c>
      <c r="N499" s="271"/>
    </row>
    <row r="500" spans="1:14" s="52" customFormat="1" ht="12.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389500</v>
      </c>
      <c r="G500" s="42">
        <f>SUM(G498:G499)</f>
        <v>24590592.530000001</v>
      </c>
      <c r="H500" s="42">
        <f>SUM(H498:H499)</f>
        <v>2104843.64</v>
      </c>
      <c r="I500" s="42">
        <f>SUM(I498:I499)</f>
        <v>0</v>
      </c>
      <c r="J500" s="42">
        <f>SUM(J498:J499)</f>
        <v>0</v>
      </c>
      <c r="K500" s="42">
        <f t="shared" si="35"/>
        <v>27084936.170000002</v>
      </c>
      <c r="L500" s="45" t="s">
        <v>289</v>
      </c>
      <c r="N500" s="271"/>
    </row>
    <row r="501" spans="1:14" s="52" customFormat="1" ht="12.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236948.43</v>
      </c>
      <c r="G501" s="204">
        <v>1292002.8999999999</v>
      </c>
      <c r="H501" s="18">
        <v>148752.20000000001</v>
      </c>
      <c r="I501" s="204"/>
      <c r="J501" s="204"/>
      <c r="K501" s="205">
        <f t="shared" si="35"/>
        <v>1677703.5299999998</v>
      </c>
      <c r="L501" s="206" t="s">
        <v>289</v>
      </c>
      <c r="N501" s="271"/>
    </row>
    <row r="502" spans="1:14" s="52" customFormat="1" ht="12.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152551.57</v>
      </c>
      <c r="G502" s="18">
        <v>601744.6</v>
      </c>
      <c r="H502" s="18">
        <v>74814.2</v>
      </c>
      <c r="I502" s="18"/>
      <c r="J502" s="18"/>
      <c r="K502" s="53">
        <f t="shared" si="35"/>
        <v>829110.36999999988</v>
      </c>
      <c r="L502" s="24" t="s">
        <v>289</v>
      </c>
      <c r="N502" s="271"/>
    </row>
    <row r="503" spans="1:14" s="52" customFormat="1" ht="12.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389500</v>
      </c>
      <c r="G503" s="42">
        <f>SUM(G501:G502)</f>
        <v>1893747.5</v>
      </c>
      <c r="H503" s="42">
        <f>SUM(H501:H502)</f>
        <v>223566.40000000002</v>
      </c>
      <c r="I503" s="42">
        <f>SUM(I501:I502)</f>
        <v>0</v>
      </c>
      <c r="J503" s="42">
        <f>SUM(J501:J502)</f>
        <v>0</v>
      </c>
      <c r="K503" s="42">
        <f t="shared" si="35"/>
        <v>2506813.9</v>
      </c>
      <c r="L503" s="45" t="s">
        <v>289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.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.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.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.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.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.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.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.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.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F198-F567+77593.12</f>
        <v>1737603.0560000003</v>
      </c>
      <c r="G521" s="18">
        <f>G198-G567+34995.86</f>
        <v>637261.44200000004</v>
      </c>
      <c r="H521" s="18">
        <f t="shared" ref="H521" si="36">H198-H567</f>
        <v>148166.10999999999</v>
      </c>
      <c r="I521" s="18">
        <f>I198-I567+1549.95</f>
        <v>23437.420000000002</v>
      </c>
      <c r="J521" s="18">
        <f>J198-J567+24251.92</f>
        <v>24251.919999999998</v>
      </c>
      <c r="K521" s="18">
        <f t="shared" ref="K521" si="37">K198</f>
        <v>0</v>
      </c>
      <c r="L521" s="88">
        <f>SUM(F521:K521)</f>
        <v>2570719.9480000003</v>
      </c>
      <c r="N521" s="271"/>
    </row>
    <row r="522" spans="1:14" s="52" customFormat="1" ht="12.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F216-F568+42323.52</f>
        <v>939840.69400000002</v>
      </c>
      <c r="G522" s="18">
        <f>G216-G568+16381.04</f>
        <v>306916.46799999999</v>
      </c>
      <c r="H522" s="18">
        <f t="shared" ref="H522" si="38">H216-H568</f>
        <v>513158.01999999996</v>
      </c>
      <c r="I522" s="18">
        <f>I216-I568+725.51</f>
        <v>9003.99</v>
      </c>
      <c r="J522" s="18">
        <f>J216+13228.32</f>
        <v>13228.32</v>
      </c>
      <c r="K522" s="18">
        <f t="shared" ref="K522" si="39">K216</f>
        <v>2398.66</v>
      </c>
      <c r="L522" s="88">
        <f>SUM(F522:K522)</f>
        <v>1784546.152</v>
      </c>
      <c r="N522" s="271"/>
    </row>
    <row r="523" spans="1:14" s="52" customFormat="1" ht="12.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F234+56431.36</f>
        <v>775548.38</v>
      </c>
      <c r="G523" s="18">
        <f>G234+23082.37</f>
        <v>213813.66999999998</v>
      </c>
      <c r="H523" s="18">
        <f t="shared" ref="H523:K523" si="40">H234</f>
        <v>745668.19</v>
      </c>
      <c r="I523" s="18">
        <f>I234+1022.31</f>
        <v>11071.199999999999</v>
      </c>
      <c r="J523" s="18">
        <f>J234+17637.76</f>
        <v>18827.219999999998</v>
      </c>
      <c r="K523" s="18">
        <f t="shared" si="40"/>
        <v>0</v>
      </c>
      <c r="L523" s="88">
        <f>SUM(F523:K523)</f>
        <v>1764928.66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3452992.1300000004</v>
      </c>
      <c r="G524" s="108">
        <f t="shared" ref="G524:L524" si="41">SUM(G521:G523)</f>
        <v>1157991.58</v>
      </c>
      <c r="H524" s="108">
        <f t="shared" si="41"/>
        <v>1406992.3199999998</v>
      </c>
      <c r="I524" s="108">
        <f t="shared" si="41"/>
        <v>43512.61</v>
      </c>
      <c r="J524" s="108">
        <f t="shared" si="41"/>
        <v>56307.459999999992</v>
      </c>
      <c r="K524" s="108">
        <f t="shared" si="41"/>
        <v>2398.66</v>
      </c>
      <c r="L524" s="89">
        <f t="shared" si="41"/>
        <v>6120194.7600000007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.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45833.64</v>
      </c>
      <c r="G526" s="18">
        <v>8630.7999999999993</v>
      </c>
      <c r="H526" s="18">
        <v>7501.61</v>
      </c>
      <c r="I526" s="18">
        <v>673.21</v>
      </c>
      <c r="J526" s="18"/>
      <c r="K526" s="18"/>
      <c r="L526" s="88">
        <f>SUM(F526:K526)</f>
        <v>62639.26</v>
      </c>
      <c r="M526" s="8"/>
      <c r="N526" s="272"/>
    </row>
    <row r="527" spans="1:14" s="3" customFormat="1" ht="12.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21292.560000000001</v>
      </c>
      <c r="G527" s="18">
        <v>4027.6000000000004</v>
      </c>
      <c r="H527" s="18">
        <v>1454.95</v>
      </c>
      <c r="I527" s="18">
        <v>118.69</v>
      </c>
      <c r="J527" s="18"/>
      <c r="K527" s="18"/>
      <c r="L527" s="88">
        <f>SUM(F527:K527)</f>
        <v>26893.800000000003</v>
      </c>
      <c r="M527" s="8"/>
      <c r="N527" s="272"/>
    </row>
    <row r="528" spans="1:14" s="3" customFormat="1" ht="12.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30003.14</v>
      </c>
      <c r="G528" s="18">
        <v>5675.25</v>
      </c>
      <c r="H528" s="18">
        <v>2050.16</v>
      </c>
      <c r="I528" s="18">
        <v>167.25</v>
      </c>
      <c r="J528" s="18"/>
      <c r="K528" s="18"/>
      <c r="L528" s="88">
        <f>SUM(F528:K528)</f>
        <v>37895.800000000003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97129.34</v>
      </c>
      <c r="G529" s="89">
        <f t="shared" ref="G529:L529" si="42">SUM(G526:G528)</f>
        <v>18333.650000000001</v>
      </c>
      <c r="H529" s="89">
        <f t="shared" si="42"/>
        <v>11006.72</v>
      </c>
      <c r="I529" s="89">
        <f t="shared" si="42"/>
        <v>959.15000000000009</v>
      </c>
      <c r="J529" s="89">
        <f t="shared" si="42"/>
        <v>0</v>
      </c>
      <c r="K529" s="89">
        <f t="shared" si="42"/>
        <v>0</v>
      </c>
      <c r="L529" s="89">
        <f t="shared" si="42"/>
        <v>127428.86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.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58368.758799999996</v>
      </c>
      <c r="G531" s="18">
        <v>22436.959599999973</v>
      </c>
      <c r="H531" s="18"/>
      <c r="I531" s="18"/>
      <c r="J531" s="18"/>
      <c r="K531" s="18"/>
      <c r="L531" s="88">
        <f>SUM(F531:K531)</f>
        <v>80805.718399999969</v>
      </c>
      <c r="M531" s="8"/>
      <c r="N531" s="272"/>
    </row>
    <row r="532" spans="1:14" s="3" customFormat="1" ht="12.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31837.504799999995</v>
      </c>
      <c r="G532" s="18">
        <v>12238.341599999985</v>
      </c>
      <c r="H532" s="18"/>
      <c r="I532" s="18"/>
      <c r="J532" s="18"/>
      <c r="K532" s="18"/>
      <c r="L532" s="88">
        <f>SUM(F532:K532)</f>
        <v>44075.84639999998</v>
      </c>
      <c r="M532" s="8"/>
      <c r="N532" s="272"/>
    </row>
    <row r="533" spans="1:14" s="3" customFormat="1" ht="12.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42450.006399999998</v>
      </c>
      <c r="G533" s="18">
        <v>16317.78879999998</v>
      </c>
      <c r="H533" s="18"/>
      <c r="I533" s="18"/>
      <c r="J533" s="18"/>
      <c r="K533" s="18"/>
      <c r="L533" s="88">
        <f>SUM(F533:K533)</f>
        <v>58767.795199999979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132656.26999999999</v>
      </c>
      <c r="G534" s="89">
        <f t="shared" ref="G534:L534" si="43">SUM(G531:G533)</f>
        <v>50993.089999999938</v>
      </c>
      <c r="H534" s="89">
        <f t="shared" si="43"/>
        <v>0</v>
      </c>
      <c r="I534" s="89">
        <f t="shared" si="43"/>
        <v>0</v>
      </c>
      <c r="J534" s="89">
        <f t="shared" si="43"/>
        <v>0</v>
      </c>
      <c r="K534" s="89">
        <f t="shared" si="43"/>
        <v>0</v>
      </c>
      <c r="L534" s="89">
        <f t="shared" si="43"/>
        <v>183649.35999999993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.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4">SUM(G536:G538)</f>
        <v>0</v>
      </c>
      <c r="H539" s="89">
        <f t="shared" si="44"/>
        <v>0</v>
      </c>
      <c r="I539" s="89">
        <f t="shared" si="44"/>
        <v>0</v>
      </c>
      <c r="J539" s="89">
        <f t="shared" si="44"/>
        <v>0</v>
      </c>
      <c r="K539" s="89">
        <f t="shared" si="44"/>
        <v>0</v>
      </c>
      <c r="L539" s="89">
        <f t="shared" si="44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.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H592</f>
        <v>92438.01</v>
      </c>
      <c r="I541" s="18"/>
      <c r="J541" s="18"/>
      <c r="K541" s="18"/>
      <c r="L541" s="88">
        <f>SUM(F541:K541)</f>
        <v>92438.01</v>
      </c>
      <c r="M541" s="8"/>
      <c r="N541" s="272"/>
    </row>
    <row r="542" spans="1:14" s="3" customFormat="1" ht="12.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I592</f>
        <v>50420.73</v>
      </c>
      <c r="I542" s="18"/>
      <c r="J542" s="18"/>
      <c r="K542" s="18"/>
      <c r="L542" s="88">
        <f>SUM(F542:K542)</f>
        <v>50420.73</v>
      </c>
      <c r="M542" s="8"/>
      <c r="N542" s="272"/>
    </row>
    <row r="543" spans="1:14" s="3" customFormat="1" ht="12.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J592</f>
        <v>67227.64</v>
      </c>
      <c r="I543" s="18"/>
      <c r="J543" s="18"/>
      <c r="K543" s="18"/>
      <c r="L543" s="88">
        <f>SUM(F543:K543)</f>
        <v>67227.64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5">SUM(G541:G543)</f>
        <v>0</v>
      </c>
      <c r="H544" s="193">
        <f t="shared" si="45"/>
        <v>210086.38</v>
      </c>
      <c r="I544" s="193">
        <f t="shared" si="45"/>
        <v>0</v>
      </c>
      <c r="J544" s="193">
        <f t="shared" si="45"/>
        <v>0</v>
      </c>
      <c r="K544" s="193">
        <f t="shared" si="45"/>
        <v>0</v>
      </c>
      <c r="L544" s="193">
        <f t="shared" si="45"/>
        <v>210086.38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3682777.74</v>
      </c>
      <c r="G545" s="89">
        <f t="shared" ref="G545:L545" si="46">G524+G529+G534+G539+G544</f>
        <v>1227318.3199999998</v>
      </c>
      <c r="H545" s="89">
        <f t="shared" si="46"/>
        <v>1628085.42</v>
      </c>
      <c r="I545" s="89">
        <f t="shared" si="46"/>
        <v>44471.76</v>
      </c>
      <c r="J545" s="89">
        <f t="shared" si="46"/>
        <v>56307.459999999992</v>
      </c>
      <c r="K545" s="89">
        <f t="shared" si="46"/>
        <v>2398.66</v>
      </c>
      <c r="L545" s="89">
        <f t="shared" si="46"/>
        <v>6641359.3600000013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.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2570719.9480000003</v>
      </c>
      <c r="G549" s="87">
        <f>L526</f>
        <v>62639.26</v>
      </c>
      <c r="H549" s="87">
        <f>L531</f>
        <v>80805.718399999969</v>
      </c>
      <c r="I549" s="87">
        <f>L536</f>
        <v>0</v>
      </c>
      <c r="J549" s="87">
        <f>L541</f>
        <v>92438.01</v>
      </c>
      <c r="K549" s="87">
        <f>SUM(F549:J549)</f>
        <v>2806602.9364</v>
      </c>
      <c r="L549" s="24" t="s">
        <v>289</v>
      </c>
      <c r="M549" s="8"/>
      <c r="N549" s="272"/>
    </row>
    <row r="550" spans="1:14" s="3" customFormat="1" ht="12.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1784546.152</v>
      </c>
      <c r="G550" s="87">
        <f>L527</f>
        <v>26893.800000000003</v>
      </c>
      <c r="H550" s="87">
        <f>L532</f>
        <v>44075.84639999998</v>
      </c>
      <c r="I550" s="87">
        <f>L537</f>
        <v>0</v>
      </c>
      <c r="J550" s="87">
        <f>L542</f>
        <v>50420.73</v>
      </c>
      <c r="K550" s="87">
        <f>SUM(F550:J550)</f>
        <v>1905936.5284</v>
      </c>
      <c r="L550" s="24" t="s">
        <v>289</v>
      </c>
      <c r="M550" s="8"/>
      <c r="N550" s="272"/>
    </row>
    <row r="551" spans="1:14" s="3" customFormat="1" ht="12.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1764928.66</v>
      </c>
      <c r="G551" s="87">
        <f>L528</f>
        <v>37895.800000000003</v>
      </c>
      <c r="H551" s="87">
        <f>L533</f>
        <v>58767.795199999979</v>
      </c>
      <c r="I551" s="87">
        <f>L538</f>
        <v>0</v>
      </c>
      <c r="J551" s="87">
        <f>L543</f>
        <v>67227.64</v>
      </c>
      <c r="K551" s="87">
        <f>SUM(F551:J551)</f>
        <v>1928819.8951999999</v>
      </c>
      <c r="L551" s="24" t="s">
        <v>289</v>
      </c>
      <c r="M551" s="8"/>
      <c r="N551" s="272"/>
    </row>
    <row r="552" spans="1:14" s="3" customFormat="1" ht="12.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7">SUM(F549:F551)</f>
        <v>6120194.7600000007</v>
      </c>
      <c r="G552" s="89">
        <f t="shared" si="47"/>
        <v>127428.86</v>
      </c>
      <c r="H552" s="89">
        <f t="shared" si="47"/>
        <v>183649.35999999993</v>
      </c>
      <c r="I552" s="89">
        <f t="shared" si="47"/>
        <v>0</v>
      </c>
      <c r="J552" s="89">
        <f t="shared" si="47"/>
        <v>210086.38</v>
      </c>
      <c r="K552" s="89">
        <f t="shared" si="47"/>
        <v>6641359.3600000003</v>
      </c>
      <c r="L552" s="24"/>
      <c r="M552" s="8"/>
      <c r="N552" s="272"/>
    </row>
    <row r="553" spans="1:14" s="3" customFormat="1" ht="12.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.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8">SUM(F557:F559)</f>
        <v>0</v>
      </c>
      <c r="G560" s="108">
        <f t="shared" si="48"/>
        <v>0</v>
      </c>
      <c r="H560" s="108">
        <f t="shared" si="48"/>
        <v>0</v>
      </c>
      <c r="I560" s="108">
        <f t="shared" si="48"/>
        <v>0</v>
      </c>
      <c r="J560" s="108">
        <f t="shared" si="48"/>
        <v>0</v>
      </c>
      <c r="K560" s="108">
        <f t="shared" si="48"/>
        <v>0</v>
      </c>
      <c r="L560" s="89">
        <f t="shared" si="48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.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9">SUM(F562:F564)</f>
        <v>0</v>
      </c>
      <c r="G565" s="89">
        <f t="shared" si="49"/>
        <v>0</v>
      </c>
      <c r="H565" s="89">
        <f t="shared" si="49"/>
        <v>0</v>
      </c>
      <c r="I565" s="89">
        <f t="shared" si="49"/>
        <v>0</v>
      </c>
      <c r="J565" s="89">
        <f t="shared" si="49"/>
        <v>0</v>
      </c>
      <c r="K565" s="89">
        <f t="shared" si="49"/>
        <v>0</v>
      </c>
      <c r="L565" s="89">
        <f t="shared" si="49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.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47184.173999999999</v>
      </c>
      <c r="G567" s="18">
        <v>9370.1880000000001</v>
      </c>
      <c r="H567" s="18">
        <v>2927.6</v>
      </c>
      <c r="I567" s="18">
        <v>2901.99</v>
      </c>
      <c r="J567" s="18"/>
      <c r="K567" s="18"/>
      <c r="L567" s="88">
        <f>SUM(F567:K567)</f>
        <v>62383.951999999997</v>
      </c>
      <c r="M567" s="8"/>
      <c r="N567" s="272"/>
    </row>
    <row r="568" spans="1:14" s="3" customFormat="1" ht="12.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5242.6860000000006</v>
      </c>
      <c r="G568" s="18">
        <v>1041.1320000000001</v>
      </c>
      <c r="H568" s="18">
        <v>162.39999999999998</v>
      </c>
      <c r="I568" s="18">
        <v>916.42</v>
      </c>
      <c r="J568" s="18"/>
      <c r="K568" s="18"/>
      <c r="L568" s="88">
        <f>SUM(F568:K568)</f>
        <v>7362.6380000000008</v>
      </c>
      <c r="M568" s="8"/>
      <c r="N568" s="272"/>
    </row>
    <row r="569" spans="1:14" s="3" customFormat="1" ht="12.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52426.86</v>
      </c>
      <c r="G570" s="193">
        <f t="shared" ref="G570:L570" si="50">SUM(G567:G569)</f>
        <v>10411.32</v>
      </c>
      <c r="H570" s="193">
        <f t="shared" si="50"/>
        <v>3090</v>
      </c>
      <c r="I570" s="193">
        <f t="shared" si="50"/>
        <v>3818.41</v>
      </c>
      <c r="J570" s="193">
        <f t="shared" si="50"/>
        <v>0</v>
      </c>
      <c r="K570" s="193">
        <f t="shared" si="50"/>
        <v>0</v>
      </c>
      <c r="L570" s="193">
        <f t="shared" si="50"/>
        <v>69746.59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52426.86</v>
      </c>
      <c r="G571" s="89">
        <f t="shared" ref="G571:L571" si="51">G560+G565+G570</f>
        <v>10411.32</v>
      </c>
      <c r="H571" s="89">
        <f t="shared" si="51"/>
        <v>3090</v>
      </c>
      <c r="I571" s="89">
        <f t="shared" si="51"/>
        <v>3818.41</v>
      </c>
      <c r="J571" s="89">
        <f t="shared" si="51"/>
        <v>0</v>
      </c>
      <c r="K571" s="89">
        <f t="shared" si="51"/>
        <v>0</v>
      </c>
      <c r="L571" s="89">
        <f t="shared" si="51"/>
        <v>69746.59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.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.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2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.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2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.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2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.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52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.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2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.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2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.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50132.28</v>
      </c>
      <c r="G582" s="18">
        <v>463822.81</v>
      </c>
      <c r="H582" s="18">
        <v>679671.38</v>
      </c>
      <c r="I582" s="87">
        <f t="shared" si="52"/>
        <v>1193626.47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.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2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.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42881.1</v>
      </c>
      <c r="I584" s="87">
        <f t="shared" si="52"/>
        <v>42881.1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.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2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.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2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.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2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.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913381.53</v>
      </c>
      <c r="I591" s="18">
        <v>506125.83</v>
      </c>
      <c r="J591" s="18">
        <v>701955.42</v>
      </c>
      <c r="K591" s="104">
        <f t="shared" ref="K591:K597" si="53">SUM(H591:J591)</f>
        <v>2121462.7800000003</v>
      </c>
      <c r="L591" s="24" t="s">
        <v>289</v>
      </c>
      <c r="M591" s="8"/>
      <c r="N591" s="272"/>
    </row>
    <row r="592" spans="1:14" s="3" customFormat="1" ht="12.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92438.01</v>
      </c>
      <c r="I592" s="18">
        <v>50420.73</v>
      </c>
      <c r="J592" s="18">
        <v>67227.64</v>
      </c>
      <c r="K592" s="104">
        <f t="shared" si="53"/>
        <v>210086.38</v>
      </c>
      <c r="L592" s="24" t="s">
        <v>289</v>
      </c>
      <c r="M592" s="8"/>
      <c r="N592" s="272"/>
    </row>
    <row r="593" spans="1:14" s="3" customFormat="1" ht="12.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34377.19</v>
      </c>
      <c r="K593" s="104">
        <f t="shared" si="53"/>
        <v>34377.19</v>
      </c>
      <c r="L593" s="24" t="s">
        <v>289</v>
      </c>
      <c r="M593" s="8"/>
      <c r="N593" s="272"/>
    </row>
    <row r="594" spans="1:14" s="3" customFormat="1" ht="12.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8189.28</v>
      </c>
      <c r="J594" s="18">
        <v>36283.89</v>
      </c>
      <c r="K594" s="104">
        <f t="shared" si="53"/>
        <v>44473.17</v>
      </c>
      <c r="L594" s="24" t="s">
        <v>289</v>
      </c>
      <c r="M594" s="8"/>
      <c r="N594" s="272"/>
    </row>
    <row r="595" spans="1:14" s="3" customFormat="1" ht="12.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25166.51</v>
      </c>
      <c r="I595" s="18">
        <v>13407.55</v>
      </c>
      <c r="J595" s="18">
        <v>10580.19</v>
      </c>
      <c r="K595" s="104">
        <f t="shared" si="53"/>
        <v>49154.25</v>
      </c>
      <c r="L595" s="24" t="s">
        <v>289</v>
      </c>
      <c r="M595" s="8"/>
      <c r="N595" s="272"/>
    </row>
    <row r="596" spans="1:14" s="3" customFormat="1" ht="12.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3"/>
        <v>0</v>
      </c>
      <c r="L596" s="24" t="s">
        <v>289</v>
      </c>
      <c r="M596" s="8"/>
      <c r="N596" s="272"/>
    </row>
    <row r="597" spans="1:14" s="3" customFormat="1" ht="12.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3"/>
        <v>0</v>
      </c>
      <c r="L597" s="24" t="s">
        <v>289</v>
      </c>
      <c r="M597" s="8"/>
      <c r="N597" s="272"/>
    </row>
    <row r="598" spans="1:14" s="3" customFormat="1" ht="12.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1030986.05</v>
      </c>
      <c r="I598" s="108">
        <f>SUM(I591:I597)</f>
        <v>578143.39000000013</v>
      </c>
      <c r="J598" s="108">
        <f>SUM(J591:J597)</f>
        <v>850424.33</v>
      </c>
      <c r="K598" s="108">
        <f>SUM(K591:K597)</f>
        <v>2459553.77</v>
      </c>
      <c r="L598" s="24" t="s">
        <v>289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.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.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170663.76</v>
      </c>
      <c r="I604" s="18">
        <f>J229+J309</f>
        <v>80185.27</v>
      </c>
      <c r="J604" s="18">
        <f>J247+J328</f>
        <v>211058.96999999997</v>
      </c>
      <c r="K604" s="104">
        <f>SUM(H604:J604)</f>
        <v>461908</v>
      </c>
      <c r="L604" s="24" t="s">
        <v>289</v>
      </c>
      <c r="M604" s="8"/>
      <c r="N604" s="272"/>
    </row>
    <row r="605" spans="1:14" s="3" customFormat="1" ht="12.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170663.76</v>
      </c>
      <c r="I605" s="108">
        <f>SUM(I602:I604)</f>
        <v>80185.27</v>
      </c>
      <c r="J605" s="108">
        <f>SUM(J602:J604)</f>
        <v>211058.96999999997</v>
      </c>
      <c r="K605" s="108">
        <f>SUM(K602:K604)</f>
        <v>461908</v>
      </c>
      <c r="L605" s="24" t="s">
        <v>289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19242.5</v>
      </c>
      <c r="G611" s="18">
        <v>3330.03</v>
      </c>
      <c r="H611" s="18">
        <v>41684.97</v>
      </c>
      <c r="I611" s="18">
        <v>212.54</v>
      </c>
      <c r="J611" s="18"/>
      <c r="K611" s="18"/>
      <c r="L611" s="88">
        <f>SUM(F611:K611)</f>
        <v>64470.04</v>
      </c>
      <c r="M611" s="8"/>
      <c r="N611" s="272"/>
    </row>
    <row r="612" spans="1:14" s="3" customFormat="1" ht="12.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29998.29</v>
      </c>
      <c r="G612" s="18">
        <v>4681.8900000000003</v>
      </c>
      <c r="H612" s="18">
        <v>23143.75</v>
      </c>
      <c r="I612" s="18"/>
      <c r="J612" s="18"/>
      <c r="K612" s="18"/>
      <c r="L612" s="88">
        <f>SUM(F612:K612)</f>
        <v>57823.93</v>
      </c>
      <c r="M612" s="8"/>
      <c r="N612" s="272"/>
    </row>
    <row r="613" spans="1:14" s="3" customFormat="1" ht="12.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41426.21</v>
      </c>
      <c r="G613" s="18">
        <v>6467.51</v>
      </c>
      <c r="H613" s="18">
        <v>30316.34</v>
      </c>
      <c r="I613" s="18"/>
      <c r="J613" s="18"/>
      <c r="K613" s="18"/>
      <c r="L613" s="88">
        <f>SUM(F613:K613)</f>
        <v>78210.06</v>
      </c>
      <c r="M613" s="8"/>
      <c r="N613" s="272"/>
    </row>
    <row r="614" spans="1:14" s="3" customFormat="1" ht="12.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4">SUM(F611:F613)</f>
        <v>90667</v>
      </c>
      <c r="G614" s="108">
        <f t="shared" si="54"/>
        <v>14479.43</v>
      </c>
      <c r="H614" s="108">
        <f t="shared" si="54"/>
        <v>95145.06</v>
      </c>
      <c r="I614" s="108">
        <f t="shared" si="54"/>
        <v>212.54</v>
      </c>
      <c r="J614" s="108">
        <f t="shared" si="54"/>
        <v>0</v>
      </c>
      <c r="K614" s="108">
        <f t="shared" si="54"/>
        <v>0</v>
      </c>
      <c r="L614" s="89">
        <f t="shared" si="54"/>
        <v>200504.03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4719097.04</v>
      </c>
      <c r="H617" s="109">
        <f>SUM(F52)</f>
        <v>4719097.04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751584.93000000017</v>
      </c>
      <c r="H618" s="109">
        <f>SUM(G52)</f>
        <v>751584.92999999993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703381.18</v>
      </c>
      <c r="H619" s="109">
        <f>SUM(H52)</f>
        <v>703381.18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150675.74</v>
      </c>
      <c r="H620" s="109">
        <f>SUM(I52)</f>
        <v>150675.74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1752836.12</v>
      </c>
      <c r="H621" s="109">
        <f>SUM(J52)</f>
        <v>1752836.12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2544989.4500000002</v>
      </c>
      <c r="H622" s="109">
        <f>F476</f>
        <v>2544989.450000003</v>
      </c>
      <c r="I622" s="121" t="s">
        <v>101</v>
      </c>
      <c r="J622" s="109">
        <f t="shared" ref="J622:J655" si="55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12066.41</v>
      </c>
      <c r="H623" s="109">
        <f>G476</f>
        <v>12066.410000000033</v>
      </c>
      <c r="I623" s="121" t="s">
        <v>102</v>
      </c>
      <c r="J623" s="109">
        <f t="shared" si="55"/>
        <v>-3.2741809263825417E-11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7850</v>
      </c>
      <c r="H624" s="109">
        <f>H476</f>
        <v>7850</v>
      </c>
      <c r="I624" s="121" t="s">
        <v>103</v>
      </c>
      <c r="J624" s="109">
        <f t="shared" si="55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104943.73999999999</v>
      </c>
      <c r="H625" s="109">
        <f>I476</f>
        <v>104943.73999999999</v>
      </c>
      <c r="I625" s="121" t="s">
        <v>104</v>
      </c>
      <c r="J625" s="109">
        <f t="shared" si="55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1752836.12</v>
      </c>
      <c r="H626" s="109">
        <f>J476</f>
        <v>1752836.12</v>
      </c>
      <c r="I626" s="140" t="s">
        <v>105</v>
      </c>
      <c r="J626" s="109">
        <f t="shared" si="55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35398255.700000003</v>
      </c>
      <c r="H627" s="104">
        <f>SUM(F468)</f>
        <v>35398255.700000003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688564.83000000007</v>
      </c>
      <c r="H628" s="104">
        <f>SUM(G468)</f>
        <v>688564.83000000007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1029734.0700000001</v>
      </c>
      <c r="H629" s="104">
        <f>SUM(H468)</f>
        <v>1029734.0700000001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38.479999999999997</v>
      </c>
      <c r="H630" s="104">
        <f>SUM(I468)</f>
        <v>38.479999999999997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20870.55</v>
      </c>
      <c r="H631" s="104">
        <f>SUM(J468)</f>
        <v>20870.55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35493909.469999999</v>
      </c>
      <c r="H632" s="104">
        <f>SUM(F472)</f>
        <v>35493909.469999999</v>
      </c>
      <c r="I632" s="140" t="s">
        <v>111</v>
      </c>
      <c r="J632" s="109">
        <f t="shared" si="55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978394.37</v>
      </c>
      <c r="H633" s="104">
        <f>SUM(H472)</f>
        <v>978394.37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688564.83</v>
      </c>
      <c r="H635" s="104">
        <f>SUM(G472)</f>
        <v>688564.83</v>
      </c>
      <c r="I635" s="140" t="s">
        <v>114</v>
      </c>
      <c r="J635" s="109">
        <f t="shared" si="55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5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20870.55</v>
      </c>
      <c r="H637" s="164">
        <f>SUM(J468)</f>
        <v>20870.55</v>
      </c>
      <c r="I637" s="165" t="s">
        <v>110</v>
      </c>
      <c r="J637" s="151">
        <f t="shared" si="55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5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1752836.12</v>
      </c>
      <c r="H639" s="104">
        <f>SUM(F461)</f>
        <v>1752836.12</v>
      </c>
      <c r="I639" s="140" t="s">
        <v>857</v>
      </c>
      <c r="J639" s="109">
        <f t="shared" si="55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5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5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1752836.12</v>
      </c>
      <c r="H642" s="104">
        <f>SUM(I461)</f>
        <v>1752836.12</v>
      </c>
      <c r="I642" s="140" t="s">
        <v>860</v>
      </c>
      <c r="J642" s="109">
        <f t="shared" si="55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5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4630.7</v>
      </c>
      <c r="H644" s="104">
        <f>H408</f>
        <v>4630.7</v>
      </c>
      <c r="I644" s="140" t="s">
        <v>481</v>
      </c>
      <c r="J644" s="109">
        <f t="shared" si="55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5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20870.55</v>
      </c>
      <c r="H646" s="104">
        <f>L408</f>
        <v>20870.55</v>
      </c>
      <c r="I646" s="140" t="s">
        <v>478</v>
      </c>
      <c r="J646" s="109">
        <f t="shared" si="55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2459553.77</v>
      </c>
      <c r="H647" s="104">
        <f>L208+L226+L244</f>
        <v>2459553.77</v>
      </c>
      <c r="I647" s="140" t="s">
        <v>397</v>
      </c>
      <c r="J647" s="109">
        <f t="shared" si="55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461908</v>
      </c>
      <c r="H648" s="104">
        <f>(J257+J338)-(J255+J336)</f>
        <v>461907.99999999994</v>
      </c>
      <c r="I648" s="140" t="s">
        <v>703</v>
      </c>
      <c r="J648" s="109">
        <f t="shared" si="55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1030986.05</v>
      </c>
      <c r="H649" s="104">
        <f>H598</f>
        <v>1030986.05</v>
      </c>
      <c r="I649" s="140" t="s">
        <v>389</v>
      </c>
      <c r="J649" s="109">
        <f t="shared" si="55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578143.39</v>
      </c>
      <c r="H650" s="104">
        <f>I598</f>
        <v>578143.39000000013</v>
      </c>
      <c r="I650" s="140" t="s">
        <v>390</v>
      </c>
      <c r="J650" s="109">
        <f t="shared" si="55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850424.33</v>
      </c>
      <c r="H651" s="104">
        <f>J598</f>
        <v>850424.33</v>
      </c>
      <c r="I651" s="140" t="s">
        <v>391</v>
      </c>
      <c r="J651" s="109">
        <f t="shared" si="55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36072.19</v>
      </c>
      <c r="H652" s="104">
        <f>K263+K345</f>
        <v>36072.19</v>
      </c>
      <c r="I652" s="140" t="s">
        <v>398</v>
      </c>
      <c r="J652" s="109">
        <f t="shared" si="55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5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5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5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.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13914849.510000002</v>
      </c>
      <c r="G660" s="19">
        <f>(L229+L309+L359)</f>
        <v>9472813.0800000001</v>
      </c>
      <c r="H660" s="19">
        <f>(L247+L328+L360)</f>
        <v>11213584.679999998</v>
      </c>
      <c r="I660" s="19">
        <f>SUM(F660:H660)</f>
        <v>34601247.270000003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208410.4858848289</v>
      </c>
      <c r="G661" s="19">
        <f>(L359/IF(SUM(L358:L360)=0,1,SUM(L358:L360))*(SUM(G97:G110)))</f>
        <v>108502.8275049308</v>
      </c>
      <c r="H661" s="19">
        <f>(L360/IF(SUM(L358:L360)=0,1,SUM(L358:L360))*(SUM(G97:G110)))</f>
        <v>150533.21661024034</v>
      </c>
      <c r="I661" s="19">
        <f>SUM(F661:H661)</f>
        <v>467446.53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1030986.05</v>
      </c>
      <c r="G662" s="19">
        <f>(L226+L306)-(J226+J306)</f>
        <v>578143.39</v>
      </c>
      <c r="H662" s="19">
        <f>(L244+L325)-(J244+J325)</f>
        <v>850424.33</v>
      </c>
      <c r="I662" s="19">
        <f>SUM(F662:H662)</f>
        <v>2459553.77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285266.08</v>
      </c>
      <c r="G663" s="199">
        <f>SUM(G575:G587)+SUM(I602:I604)+L612</f>
        <v>601832.01</v>
      </c>
      <c r="H663" s="199">
        <f>SUM(H575:H587)+SUM(J602:J604)+L613</f>
        <v>1011821.51</v>
      </c>
      <c r="I663" s="19">
        <f>SUM(F663:H663)</f>
        <v>1898919.6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12390186.894115172</v>
      </c>
      <c r="G664" s="19">
        <f>G660-SUM(G661:G663)</f>
        <v>8184334.8524950687</v>
      </c>
      <c r="H664" s="19">
        <f>H660-SUM(H661:H663)</f>
        <v>9200805.6233897582</v>
      </c>
      <c r="I664" s="19">
        <f>I660-SUM(I661:I663)</f>
        <v>29775327.370000005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775.54</v>
      </c>
      <c r="G665" s="248">
        <v>463.99</v>
      </c>
      <c r="H665" s="248">
        <v>540.46</v>
      </c>
      <c r="I665" s="19">
        <f>SUM(F665:H665)</f>
        <v>1779.99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15976.21</v>
      </c>
      <c r="G667" s="19">
        <f>ROUND(G664/G665,2)</f>
        <v>17639.03</v>
      </c>
      <c r="H667" s="19">
        <f>ROUND(H664/H665,2)</f>
        <v>17024.03</v>
      </c>
      <c r="I667" s="19">
        <f>ROUND(I664/I665,2)</f>
        <v>16727.810000000001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-9.9499999999999993</v>
      </c>
      <c r="I670" s="19">
        <f>SUM(F670:H670)</f>
        <v>-9.9499999999999993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15976.21</v>
      </c>
      <c r="G672" s="19">
        <f>ROUND((G664+G669)/(G665+G670),2)</f>
        <v>17639.03</v>
      </c>
      <c r="H672" s="19">
        <f>ROUND((H664+H669)/(H665+H670),2)</f>
        <v>17343.32</v>
      </c>
      <c r="I672" s="19">
        <f>ROUND((I664+I669)/(I665+I670),2)</f>
        <v>16821.84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F20" sqref="F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Kearsarge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9678480.8800000008</v>
      </c>
      <c r="C9" s="229">
        <f>'DOE25'!G197+'DOE25'!G215+'DOE25'!G233+'DOE25'!G276+'DOE25'!G295+'DOE25'!G314</f>
        <v>4508516.53</v>
      </c>
    </row>
    <row r="10" spans="1:3" x14ac:dyDescent="0.2">
      <c r="A10" t="s">
        <v>779</v>
      </c>
      <c r="B10" s="240">
        <v>8628567.6199999992</v>
      </c>
      <c r="C10" s="240">
        <v>4275432.7700000005</v>
      </c>
    </row>
    <row r="11" spans="1:3" x14ac:dyDescent="0.2">
      <c r="A11" t="s">
        <v>780</v>
      </c>
      <c r="B11" s="240">
        <v>117729.24</v>
      </c>
      <c r="C11" s="240">
        <v>38340.31</v>
      </c>
    </row>
    <row r="12" spans="1:3" x14ac:dyDescent="0.2">
      <c r="A12" t="s">
        <v>781</v>
      </c>
      <c r="B12" s="240">
        <v>932184.02</v>
      </c>
      <c r="C12" s="240">
        <v>194743.45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9678480.879999999</v>
      </c>
      <c r="C13" s="231">
        <f>SUM(C10:C12)</f>
        <v>4508516.53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3505418.99</v>
      </c>
      <c r="C18" s="229">
        <f>'DOE25'!G198+'DOE25'!G216+'DOE25'!G234+'DOE25'!G277+'DOE25'!G296+'DOE25'!G315</f>
        <v>1168402.9100000004</v>
      </c>
    </row>
    <row r="19" spans="1:3" x14ac:dyDescent="0.2">
      <c r="A19" t="s">
        <v>779</v>
      </c>
      <c r="B19" s="240">
        <v>2260419.94</v>
      </c>
      <c r="C19" s="240">
        <v>970104.29000000015</v>
      </c>
    </row>
    <row r="20" spans="1:3" x14ac:dyDescent="0.2">
      <c r="A20" t="s">
        <v>780</v>
      </c>
      <c r="B20" s="240">
        <v>1176447.4100000001</v>
      </c>
      <c r="C20" s="240">
        <f>189642.16+1406.38</f>
        <v>191048.54</v>
      </c>
    </row>
    <row r="21" spans="1:3" x14ac:dyDescent="0.2">
      <c r="A21" t="s">
        <v>781</v>
      </c>
      <c r="B21" s="240">
        <v>68551.64</v>
      </c>
      <c r="C21" s="240">
        <v>7250.0800000000008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3505418.99</v>
      </c>
      <c r="C22" s="231">
        <f>SUM(C19:C21)</f>
        <v>1168402.9100000001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288026.98</v>
      </c>
      <c r="C36" s="235">
        <f>'DOE25'!G200+'DOE25'!G218+'DOE25'!G236+'DOE25'!G279+'DOE25'!G298+'DOE25'!G317</f>
        <v>43924.189999999995</v>
      </c>
    </row>
    <row r="37" spans="1:3" x14ac:dyDescent="0.2">
      <c r="A37" t="s">
        <v>779</v>
      </c>
      <c r="B37" s="240">
        <v>155022</v>
      </c>
      <c r="C37" s="240">
        <v>29597.59</v>
      </c>
    </row>
    <row r="38" spans="1:3" x14ac:dyDescent="0.2">
      <c r="A38" t="s">
        <v>780</v>
      </c>
      <c r="B38" s="240">
        <v>34885</v>
      </c>
      <c r="C38" s="240">
        <v>3707.5300000000011</v>
      </c>
    </row>
    <row r="39" spans="1:3" x14ac:dyDescent="0.2">
      <c r="A39" t="s">
        <v>781</v>
      </c>
      <c r="B39" s="240">
        <v>98119.98000000001</v>
      </c>
      <c r="C39" s="240">
        <v>10619.069999999994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288026.98</v>
      </c>
      <c r="C40" s="231">
        <f>SUM(C37:C39)</f>
        <v>43924.189999999995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8" sqref="B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Kearsarge Regional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21554268.029999997</v>
      </c>
      <c r="D5" s="20">
        <f>SUM('DOE25'!L197:L200)+SUM('DOE25'!L215:L218)+SUM('DOE25'!L233:L236)-F5-G5</f>
        <v>21202076.169999998</v>
      </c>
      <c r="E5" s="243"/>
      <c r="F5" s="255">
        <f>SUM('DOE25'!J197:J200)+SUM('DOE25'!J215:J218)+SUM('DOE25'!J233:J236)</f>
        <v>325611.07999999996</v>
      </c>
      <c r="G5" s="53">
        <f>SUM('DOE25'!K197:K200)+SUM('DOE25'!K215:K218)+SUM('DOE25'!K233:K236)</f>
        <v>26580.78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1364299.8199999998</v>
      </c>
      <c r="D6" s="20">
        <f>'DOE25'!L202+'DOE25'!L220+'DOE25'!L238-F6-G6</f>
        <v>1364189.8199999998</v>
      </c>
      <c r="E6" s="243"/>
      <c r="F6" s="255">
        <f>'DOE25'!J202+'DOE25'!J220+'DOE25'!J238</f>
        <v>110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643231.16</v>
      </c>
      <c r="D7" s="20">
        <f>'DOE25'!L203+'DOE25'!L221+'DOE25'!L239-F7-G7</f>
        <v>634211.37</v>
      </c>
      <c r="E7" s="243"/>
      <c r="F7" s="255">
        <f>'DOE25'!J203+'DOE25'!J221+'DOE25'!J239</f>
        <v>9019.7899999999991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1070692.3500000003</v>
      </c>
      <c r="D8" s="243"/>
      <c r="E8" s="20">
        <f>'DOE25'!L204+'DOE25'!L222+'DOE25'!L240-F8-G8-D9-D11</f>
        <v>1056141.7700000005</v>
      </c>
      <c r="F8" s="255">
        <f>'DOE25'!J204+'DOE25'!J222+'DOE25'!J240</f>
        <v>722.14</v>
      </c>
      <c r="G8" s="53">
        <f>'DOE25'!K204+'DOE25'!K222+'DOE25'!K240</f>
        <v>13828.44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34570.230000000003</v>
      </c>
      <c r="D9" s="244">
        <v>34570.230000000003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35150</v>
      </c>
      <c r="D10" s="243"/>
      <c r="E10" s="244">
        <v>35150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473710.66</v>
      </c>
      <c r="D11" s="244">
        <v>473710.66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1911648.3399999999</v>
      </c>
      <c r="D12" s="20">
        <f>'DOE25'!L205+'DOE25'!L223+'DOE25'!L241-F12-G12</f>
        <v>1896756.8399999999</v>
      </c>
      <c r="E12" s="243"/>
      <c r="F12" s="255">
        <f>'DOE25'!J205+'DOE25'!J223+'DOE25'!J241</f>
        <v>1115</v>
      </c>
      <c r="G12" s="53">
        <f>'DOE25'!K205+'DOE25'!K223+'DOE25'!K241</f>
        <v>13776.5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3422313.7099999995</v>
      </c>
      <c r="D14" s="20">
        <f>'DOE25'!L207+'DOE25'!L225+'DOE25'!L243-F14-G14</f>
        <v>3390543.4299999997</v>
      </c>
      <c r="E14" s="243"/>
      <c r="F14" s="255">
        <f>'DOE25'!J207+'DOE25'!J225+'DOE25'!J243</f>
        <v>31770.28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2459553.77</v>
      </c>
      <c r="D15" s="20">
        <f>'DOE25'!L208+'DOE25'!L226+'DOE25'!L244-F15-G15</f>
        <v>2459553.77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15852.4</v>
      </c>
      <c r="D17" s="20">
        <f>'DOE25'!L251-F17-G17</f>
        <v>15852.4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2507696.81</v>
      </c>
      <c r="D25" s="243"/>
      <c r="E25" s="243"/>
      <c r="F25" s="258"/>
      <c r="G25" s="256"/>
      <c r="H25" s="257">
        <f>'DOE25'!L260+'DOE25'!L261+'DOE25'!L341+'DOE25'!L342</f>
        <v>2507696.81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688564.83</v>
      </c>
      <c r="D29" s="20">
        <f>'DOE25'!L358+'DOE25'!L359+'DOE25'!L360-'DOE25'!I367-F29-G29</f>
        <v>674233.04999999993</v>
      </c>
      <c r="E29" s="243"/>
      <c r="F29" s="255">
        <f>'DOE25'!J358+'DOE25'!J359+'DOE25'!J360</f>
        <v>14251.16</v>
      </c>
      <c r="G29" s="53">
        <f>'DOE25'!K358+'DOE25'!K359+'DOE25'!K360</f>
        <v>80.62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978394.37</v>
      </c>
      <c r="D31" s="20">
        <f>'DOE25'!L290+'DOE25'!L309+'DOE25'!L328+'DOE25'!L333+'DOE25'!L334+'DOE25'!L335-F31-G31</f>
        <v>856064.94000000006</v>
      </c>
      <c r="E31" s="243"/>
      <c r="F31" s="255">
        <f>'DOE25'!J290+'DOE25'!J309+'DOE25'!J328+'DOE25'!J333+'DOE25'!J334+'DOE25'!J335</f>
        <v>93559.71</v>
      </c>
      <c r="G31" s="53">
        <f>'DOE25'!K290+'DOE25'!K309+'DOE25'!K328+'DOE25'!K333+'DOE25'!K334+'DOE25'!K335</f>
        <v>28769.72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33001762.68</v>
      </c>
      <c r="E33" s="246">
        <f>SUM(E5:E31)</f>
        <v>1091291.7700000005</v>
      </c>
      <c r="F33" s="246">
        <f>SUM(F5:F31)</f>
        <v>476159.15999999992</v>
      </c>
      <c r="G33" s="246">
        <f>SUM(G5:G31)</f>
        <v>83036.06</v>
      </c>
      <c r="H33" s="246">
        <f>SUM(H5:H31)</f>
        <v>2507696.81</v>
      </c>
    </row>
    <row r="35" spans="2:8" ht="12" thickBot="1" x14ac:dyDescent="0.25">
      <c r="B35" s="253" t="s">
        <v>847</v>
      </c>
      <c r="D35" s="254">
        <f>E33</f>
        <v>1091291.7700000005</v>
      </c>
      <c r="E35" s="249"/>
    </row>
    <row r="36" spans="2:8" ht="12" thickTop="1" x14ac:dyDescent="0.2">
      <c r="B36" t="s">
        <v>815</v>
      </c>
      <c r="D36" s="20">
        <f>D33</f>
        <v>33001762.68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24" sqref="C2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Kearsarge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682225.37</v>
      </c>
      <c r="D8" s="95">
        <f>'DOE25'!G9</f>
        <v>0</v>
      </c>
      <c r="E8" s="95">
        <f>'DOE25'!H9</f>
        <v>0</v>
      </c>
      <c r="F8" s="95">
        <f>'DOE25'!I9</f>
        <v>150675.74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2403425.8199999998</v>
      </c>
      <c r="D9" s="95">
        <f>'DOE25'!G10</f>
        <v>681608.68</v>
      </c>
      <c r="E9" s="95">
        <f>'DOE25'!H10</f>
        <v>0</v>
      </c>
      <c r="F9" s="95">
        <f>'DOE25'!I10</f>
        <v>0</v>
      </c>
      <c r="G9" s="95">
        <f>'DOE25'!J10</f>
        <v>1752834.12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1071590.6200000001</v>
      </c>
      <c r="D11" s="95">
        <f>'DOE25'!G12</f>
        <v>36988.54</v>
      </c>
      <c r="E11" s="95">
        <f>'DOE25'!H12</f>
        <v>217887.12999999998</v>
      </c>
      <c r="F11" s="95">
        <f>'DOE25'!I12</f>
        <v>0</v>
      </c>
      <c r="G11" s="95">
        <f>'DOE25'!J12</f>
        <v>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413851.65</v>
      </c>
      <c r="D12" s="95">
        <f>'DOE25'!G13</f>
        <v>20921.3</v>
      </c>
      <c r="E12" s="95">
        <f>'DOE25'!H13</f>
        <v>485494.05000000005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225.49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130402.09000000001</v>
      </c>
      <c r="D15" s="95">
        <f>'DOE25'!G16</f>
        <v>12066.41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17376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4719097.04</v>
      </c>
      <c r="D18" s="41">
        <f>SUM(D8:D17)</f>
        <v>751584.93000000017</v>
      </c>
      <c r="E18" s="41">
        <f>SUM(E8:E17)</f>
        <v>703381.18</v>
      </c>
      <c r="F18" s="41">
        <f>SUM(F8:F17)</f>
        <v>150675.74</v>
      </c>
      <c r="G18" s="41">
        <f>SUM(G8:G17)</f>
        <v>1752836.12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215144.86</v>
      </c>
      <c r="D21" s="95">
        <f>'DOE25'!G22</f>
        <v>703323.38</v>
      </c>
      <c r="E21" s="95">
        <f>'DOE25'!H22</f>
        <v>362268.05000000005</v>
      </c>
      <c r="F21" s="95">
        <f>'DOE25'!I22</f>
        <v>45732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354110.09</v>
      </c>
      <c r="D23" s="95">
        <f>'DOE25'!G24</f>
        <v>23120.7</v>
      </c>
      <c r="E23" s="95">
        <f>'DOE25'!H24</f>
        <v>15961.599999999999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1149903.3399999999</v>
      </c>
      <c r="D27" s="95">
        <f>'DOE25'!G28</f>
        <v>0</v>
      </c>
      <c r="E27" s="95">
        <f>'DOE25'!H28</f>
        <v>32262.14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7336.66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447612.64</v>
      </c>
      <c r="D29" s="95">
        <f>'DOE25'!G30</f>
        <v>13074.44</v>
      </c>
      <c r="E29" s="95">
        <f>'DOE25'!H30</f>
        <v>285039.39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2174107.59</v>
      </c>
      <c r="D31" s="41">
        <f>SUM(D21:D30)</f>
        <v>739518.5199999999</v>
      </c>
      <c r="E31" s="41">
        <f>SUM(E21:E30)</f>
        <v>695531.18</v>
      </c>
      <c r="F31" s="41">
        <f>SUM(F21:F30)</f>
        <v>45732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130402.09000000001</v>
      </c>
      <c r="D34" s="95">
        <f>'DOE25'!G35</f>
        <v>12066.41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17376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720940.65</v>
      </c>
      <c r="D44" s="95">
        <f>'DOE25'!G45</f>
        <v>0</v>
      </c>
      <c r="E44" s="95">
        <f>'DOE25'!H45</f>
        <v>7850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104943.73999999999</v>
      </c>
      <c r="G47" s="95">
        <f>'DOE25'!J48</f>
        <v>1752836.12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1601270.71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2544989.4500000002</v>
      </c>
      <c r="D50" s="41">
        <f>SUM(D34:D49)</f>
        <v>12066.41</v>
      </c>
      <c r="E50" s="41">
        <f>SUM(E34:E49)</f>
        <v>7850</v>
      </c>
      <c r="F50" s="41">
        <f>SUM(F34:F49)</f>
        <v>104943.73999999999</v>
      </c>
      <c r="G50" s="41">
        <f>SUM(G34:G49)</f>
        <v>1752836.12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4719097.04</v>
      </c>
      <c r="D51" s="41">
        <f>D50+D31</f>
        <v>751584.92999999993</v>
      </c>
      <c r="E51" s="41">
        <f>E50+E31</f>
        <v>703381.18</v>
      </c>
      <c r="F51" s="41">
        <f>F50+F31</f>
        <v>150675.74</v>
      </c>
      <c r="G51" s="41">
        <f>G50+G31</f>
        <v>1752836.12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23529699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74774.66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2469.33</v>
      </c>
      <c r="D59" s="95">
        <f>'DOE25'!G96</f>
        <v>141.69999999999999</v>
      </c>
      <c r="E59" s="95">
        <f>'DOE25'!H96</f>
        <v>0</v>
      </c>
      <c r="F59" s="95">
        <f>'DOE25'!I96</f>
        <v>38.479999999999997</v>
      </c>
      <c r="G59" s="95">
        <f>'DOE25'!J96</f>
        <v>4630.7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433289.34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84184.47</v>
      </c>
      <c r="D61" s="95">
        <f>SUM('DOE25'!G98:G110)</f>
        <v>34157.19</v>
      </c>
      <c r="E61" s="95">
        <f>SUM('DOE25'!H98:H110)</f>
        <v>87485.25</v>
      </c>
      <c r="F61" s="95">
        <f>SUM('DOE25'!I98:I110)</f>
        <v>0</v>
      </c>
      <c r="G61" s="95">
        <f>SUM('DOE25'!J98:J110)</f>
        <v>16239.85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161428.46000000002</v>
      </c>
      <c r="D62" s="130">
        <f>SUM(D57:D61)</f>
        <v>467588.23000000004</v>
      </c>
      <c r="E62" s="130">
        <f>SUM(E57:E61)</f>
        <v>87485.25</v>
      </c>
      <c r="F62" s="130">
        <f>SUM(F57:F61)</f>
        <v>38.479999999999997</v>
      </c>
      <c r="G62" s="130">
        <f>SUM(G57:G61)</f>
        <v>20870.55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23691127.460000001</v>
      </c>
      <c r="D63" s="22">
        <f>D56+D62</f>
        <v>467588.23000000004</v>
      </c>
      <c r="E63" s="22">
        <f>E56+E62</f>
        <v>87485.25</v>
      </c>
      <c r="F63" s="22">
        <f>F56+F62</f>
        <v>38.479999999999997</v>
      </c>
      <c r="G63" s="22">
        <f>G56+G62</f>
        <v>20870.55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2801593.86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7060759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9862352.8599999994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1095635.9099999999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302833.82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27749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6067.95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1426218.73</v>
      </c>
      <c r="D78" s="130">
        <f>SUM(D72:D77)</f>
        <v>6067.95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11288571.59</v>
      </c>
      <c r="D81" s="130">
        <f>SUM(D79:D80)+D78+D70</f>
        <v>6067.95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346084.58999999997</v>
      </c>
      <c r="D88" s="95">
        <f>SUM('DOE25'!G153:G161)</f>
        <v>178836.46</v>
      </c>
      <c r="E88" s="95">
        <f>SUM('DOE25'!H153:H161)</f>
        <v>942248.82000000007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346084.58999999997</v>
      </c>
      <c r="D91" s="131">
        <f>SUM(D85:D90)</f>
        <v>178836.46</v>
      </c>
      <c r="E91" s="131">
        <f>SUM(E85:E90)</f>
        <v>942248.82000000007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72472.06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36072.19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72472.06</v>
      </c>
      <c r="D103" s="86">
        <f>SUM(D93:D102)</f>
        <v>36072.19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35398255.700000003</v>
      </c>
      <c r="D104" s="86">
        <f>D63+D81+D91+D103</f>
        <v>688564.83000000007</v>
      </c>
      <c r="E104" s="86">
        <f>E63+E81+E91+E103</f>
        <v>1029734.0700000001</v>
      </c>
      <c r="F104" s="86">
        <f>F63+F81+F91+F103</f>
        <v>38.479999999999997</v>
      </c>
      <c r="G104" s="86">
        <f>G63+G81+G103</f>
        <v>20870.55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15166849.82</v>
      </c>
      <c r="D109" s="24" t="s">
        <v>289</v>
      </c>
      <c r="E109" s="95">
        <f>('DOE25'!L276)+('DOE25'!L295)+('DOE25'!L314)</f>
        <v>360686.88999999996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5880718.3099999987</v>
      </c>
      <c r="D110" s="24" t="s">
        <v>289</v>
      </c>
      <c r="E110" s="95">
        <f>('DOE25'!L277)+('DOE25'!L296)+('DOE25'!L315)</f>
        <v>309688.88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42881.1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463818.80000000005</v>
      </c>
      <c r="D112" s="24" t="s">
        <v>289</v>
      </c>
      <c r="E112" s="95">
        <f>+('DOE25'!L279)+('DOE25'!L298)+('DOE25'!L317)</f>
        <v>6419.1500000000005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15852.4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21570120.43</v>
      </c>
      <c r="D115" s="86">
        <f>SUM(D109:D114)</f>
        <v>0</v>
      </c>
      <c r="E115" s="86">
        <f>SUM(E109:E114)</f>
        <v>676794.92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1364299.8199999998</v>
      </c>
      <c r="D118" s="24" t="s">
        <v>289</v>
      </c>
      <c r="E118" s="95">
        <f>+('DOE25'!L281)+('DOE25'!L300)+('DOE25'!L319)</f>
        <v>117866.56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643231.16</v>
      </c>
      <c r="D119" s="24" t="s">
        <v>289</v>
      </c>
      <c r="E119" s="95">
        <f>+('DOE25'!L282)+('DOE25'!L301)+('DOE25'!L320)</f>
        <v>135305.13999999998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1578973.2400000002</v>
      </c>
      <c r="D120" s="24" t="s">
        <v>289</v>
      </c>
      <c r="E120" s="95">
        <f>+('DOE25'!L283)+('DOE25'!L302)+('DOE25'!L321)</f>
        <v>19658.03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1911648.3399999999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3422313.7099999995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2459553.77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28769.72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688564.83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11380020.039999999</v>
      </c>
      <c r="D128" s="86">
        <f>SUM(D118:D127)</f>
        <v>688564.83</v>
      </c>
      <c r="E128" s="86">
        <f>SUM(E118:E127)</f>
        <v>301599.44999999995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1747150.64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760546.17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36072.19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20870.55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-20870.55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2543769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35493909.469999999</v>
      </c>
      <c r="D145" s="86">
        <f>(D115+D128+D144)</f>
        <v>688564.83</v>
      </c>
      <c r="E145" s="86">
        <f>(E115+E128+E144)</f>
        <v>978394.37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15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8/04</v>
      </c>
      <c r="C152" s="152" t="str">
        <f>'DOE25'!G491</f>
        <v>08/06</v>
      </c>
      <c r="D152" s="152" t="str">
        <f>'DOE25'!H491</f>
        <v>11/10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8/14</v>
      </c>
      <c r="C153" s="152" t="str">
        <f>'DOE25'!G492</f>
        <v>08/26</v>
      </c>
      <c r="D153" s="152" t="str">
        <f>'DOE25'!H492</f>
        <v>7/25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3259044</v>
      </c>
      <c r="C154" s="137">
        <f>'DOE25'!G493</f>
        <v>24450150</v>
      </c>
      <c r="D154" s="137">
        <f>'DOE25'!H493</f>
        <v>2231283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3.69</v>
      </c>
      <c r="C155" s="137">
        <f>'DOE25'!G494</f>
        <v>4.6100000000000003</v>
      </c>
      <c r="D155" s="137">
        <f>'DOE25'!H494</f>
        <v>4.375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484786.65</v>
      </c>
      <c r="C156" s="137">
        <f>'DOE25'!G495</f>
        <v>14229830.5</v>
      </c>
      <c r="D156" s="137">
        <f>'DOE25'!H495</f>
        <v>1785026.4</v>
      </c>
      <c r="E156" s="137">
        <f>'DOE25'!I495</f>
        <v>0</v>
      </c>
      <c r="F156" s="137">
        <f>'DOE25'!J495</f>
        <v>0</v>
      </c>
      <c r="G156" s="138">
        <f>SUM(B156:F156)</f>
        <v>16499643.550000001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247838.22</v>
      </c>
      <c r="C158" s="137">
        <f>'DOE25'!G497</f>
        <v>1350560.22</v>
      </c>
      <c r="D158" s="137">
        <f>'DOE25'!H497</f>
        <v>148752.20000000001</v>
      </c>
      <c r="E158" s="137">
        <f>'DOE25'!I497</f>
        <v>0</v>
      </c>
      <c r="F158" s="137">
        <f>'DOE25'!J497</f>
        <v>0</v>
      </c>
      <c r="G158" s="138">
        <f t="shared" si="0"/>
        <v>1747150.64</v>
      </c>
    </row>
    <row r="159" spans="1:9" x14ac:dyDescent="0.2">
      <c r="A159" s="22" t="s">
        <v>35</v>
      </c>
      <c r="B159" s="137">
        <f>'DOE25'!F498</f>
        <v>236948.43000000002</v>
      </c>
      <c r="C159" s="137">
        <f>'DOE25'!G498</f>
        <v>12879270.279999999</v>
      </c>
      <c r="D159" s="137">
        <f>'DOE25'!H498</f>
        <v>1636274.2</v>
      </c>
      <c r="E159" s="137">
        <f>'DOE25'!I498</f>
        <v>0</v>
      </c>
      <c r="F159" s="137">
        <f>'DOE25'!J498</f>
        <v>0</v>
      </c>
      <c r="G159" s="138">
        <f t="shared" si="0"/>
        <v>14752492.909999998</v>
      </c>
    </row>
    <row r="160" spans="1:9" x14ac:dyDescent="0.2">
      <c r="A160" s="22" t="s">
        <v>36</v>
      </c>
      <c r="B160" s="137">
        <f>'DOE25'!F499</f>
        <v>152551.57</v>
      </c>
      <c r="C160" s="137">
        <f>'DOE25'!G499</f>
        <v>11711322.25</v>
      </c>
      <c r="D160" s="137">
        <f>'DOE25'!H499</f>
        <v>468569.44</v>
      </c>
      <c r="E160" s="137">
        <f>'DOE25'!I499</f>
        <v>0</v>
      </c>
      <c r="F160" s="137">
        <f>'DOE25'!J499</f>
        <v>0</v>
      </c>
      <c r="G160" s="138">
        <f t="shared" si="0"/>
        <v>12332443.26</v>
      </c>
    </row>
    <row r="161" spans="1:7" x14ac:dyDescent="0.2">
      <c r="A161" s="22" t="s">
        <v>37</v>
      </c>
      <c r="B161" s="137">
        <f>'DOE25'!F500</f>
        <v>389500</v>
      </c>
      <c r="C161" s="137">
        <f>'DOE25'!G500</f>
        <v>24590592.530000001</v>
      </c>
      <c r="D161" s="137">
        <f>'DOE25'!H500</f>
        <v>2104843.64</v>
      </c>
      <c r="E161" s="137">
        <f>'DOE25'!I500</f>
        <v>0</v>
      </c>
      <c r="F161" s="137">
        <f>'DOE25'!J500</f>
        <v>0</v>
      </c>
      <c r="G161" s="138">
        <f t="shared" si="0"/>
        <v>27084936.170000002</v>
      </c>
    </row>
    <row r="162" spans="1:7" x14ac:dyDescent="0.2">
      <c r="A162" s="22" t="s">
        <v>38</v>
      </c>
      <c r="B162" s="137">
        <f>'DOE25'!F501</f>
        <v>236948.43</v>
      </c>
      <c r="C162" s="137">
        <f>'DOE25'!G501</f>
        <v>1292002.8999999999</v>
      </c>
      <c r="D162" s="137">
        <f>'DOE25'!H501</f>
        <v>148752.20000000001</v>
      </c>
      <c r="E162" s="137">
        <f>'DOE25'!I501</f>
        <v>0</v>
      </c>
      <c r="F162" s="137">
        <f>'DOE25'!J501</f>
        <v>0</v>
      </c>
      <c r="G162" s="138">
        <f t="shared" si="0"/>
        <v>1677703.5299999998</v>
      </c>
    </row>
    <row r="163" spans="1:7" x14ac:dyDescent="0.2">
      <c r="A163" s="22" t="s">
        <v>39</v>
      </c>
      <c r="B163" s="137">
        <f>'DOE25'!F502</f>
        <v>152551.57</v>
      </c>
      <c r="C163" s="137">
        <f>'DOE25'!G502</f>
        <v>601744.6</v>
      </c>
      <c r="D163" s="137">
        <f>'DOE25'!H502</f>
        <v>74814.2</v>
      </c>
      <c r="E163" s="137">
        <f>'DOE25'!I502</f>
        <v>0</v>
      </c>
      <c r="F163" s="137">
        <f>'DOE25'!J502</f>
        <v>0</v>
      </c>
      <c r="G163" s="138">
        <f t="shared" si="0"/>
        <v>829110.36999999988</v>
      </c>
    </row>
    <row r="164" spans="1:7" x14ac:dyDescent="0.2">
      <c r="A164" s="22" t="s">
        <v>246</v>
      </c>
      <c r="B164" s="137">
        <f>'DOE25'!F503</f>
        <v>389500</v>
      </c>
      <c r="C164" s="137">
        <f>'DOE25'!G503</f>
        <v>1893747.5</v>
      </c>
      <c r="D164" s="137">
        <f>'DOE25'!H503</f>
        <v>223566.40000000002</v>
      </c>
      <c r="E164" s="137">
        <f>'DOE25'!I503</f>
        <v>0</v>
      </c>
      <c r="F164" s="137">
        <f>'DOE25'!J503</f>
        <v>0</v>
      </c>
      <c r="G164" s="138">
        <f t="shared" si="0"/>
        <v>2506813.9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H27" sqref="H2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Kearsarge Regional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15976</v>
      </c>
    </row>
    <row r="5" spans="1:4" x14ac:dyDescent="0.2">
      <c r="B5" t="s">
        <v>704</v>
      </c>
      <c r="C5" s="179">
        <f>IF('DOE25'!G665+'DOE25'!G670=0,0,ROUND('DOE25'!G672,0))</f>
        <v>17639</v>
      </c>
    </row>
    <row r="6" spans="1:4" x14ac:dyDescent="0.2">
      <c r="B6" t="s">
        <v>62</v>
      </c>
      <c r="C6" s="179">
        <f>IF('DOE25'!H665+'DOE25'!H670=0,0,ROUND('DOE25'!H672,0))</f>
        <v>17343</v>
      </c>
    </row>
    <row r="7" spans="1:4" x14ac:dyDescent="0.2">
      <c r="B7" t="s">
        <v>705</v>
      </c>
      <c r="C7" s="179">
        <f>IF('DOE25'!I665+'DOE25'!I670=0,0,ROUND('DOE25'!I672,0))</f>
        <v>16822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15527537</v>
      </c>
      <c r="D10" s="182">
        <f>ROUND((C10/$C$28)*100,1)</f>
        <v>44.5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6190407</v>
      </c>
      <c r="D11" s="182">
        <f>ROUND((C11/$C$28)*100,1)</f>
        <v>17.7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42881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470238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1482166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778536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1627401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1911648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3422314</v>
      </c>
      <c r="D20" s="182">
        <f t="shared" si="0"/>
        <v>9.8000000000000007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2459554</v>
      </c>
      <c r="D21" s="182">
        <f t="shared" si="0"/>
        <v>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15852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760546</v>
      </c>
      <c r="D25" s="182">
        <f t="shared" si="0"/>
        <v>2.2000000000000002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221118.46999999997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34910198.469999999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34910198.469999999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1747151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23529699</v>
      </c>
      <c r="D35" s="182">
        <f t="shared" ref="D35:D40" si="1">ROUND((C35/$C$41)*100,1)</f>
        <v>64.400000000000006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269964.44000000134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9862353</v>
      </c>
      <c r="D37" s="182">
        <f t="shared" si="1"/>
        <v>27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1432287</v>
      </c>
      <c r="D38" s="182">
        <f t="shared" si="1"/>
        <v>3.9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1467170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36561473.439999998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72472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3" sqref="C13:M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Kearsarge Regional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>
        <v>22</v>
      </c>
      <c r="B4" s="219">
        <v>21</v>
      </c>
      <c r="C4" s="286" t="s">
        <v>917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 t="s">
        <v>921</v>
      </c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 t="s">
        <v>919</v>
      </c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 t="s">
        <v>920</v>
      </c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 t="s">
        <v>918</v>
      </c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>
        <v>4</v>
      </c>
      <c r="B12" s="219">
        <v>6</v>
      </c>
      <c r="C12" s="286" t="s">
        <v>922</v>
      </c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 t="s">
        <v>923</v>
      </c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9:M9"/>
    <mergeCell ref="C10:M10"/>
    <mergeCell ref="C7:M7"/>
    <mergeCell ref="C13:M13"/>
    <mergeCell ref="C8:M8"/>
    <mergeCell ref="C11:M11"/>
    <mergeCell ref="C12:M12"/>
    <mergeCell ref="C5:M5"/>
    <mergeCell ref="C6:M6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2014-08-19T16:42:18Z</cp:lastPrinted>
  <dcterms:created xsi:type="dcterms:W3CDTF">1997-12-04T19:04:30Z</dcterms:created>
  <dcterms:modified xsi:type="dcterms:W3CDTF">2014-12-05T16:17:12Z</dcterms:modified>
</cp:coreProperties>
</file>