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245" i="1" l="1"/>
  <c r="J604" i="1"/>
  <c r="H43" i="1"/>
  <c r="H472" i="1"/>
  <c r="H468" i="1"/>
  <c r="G613" i="1" l="1"/>
  <c r="G612" i="1"/>
  <c r="H611" i="1"/>
  <c r="G611" i="1"/>
  <c r="F611" i="1"/>
  <c r="I604" i="1"/>
  <c r="H604" i="1"/>
  <c r="J209" i="1"/>
  <c r="J592" i="1"/>
  <c r="J595" i="1"/>
  <c r="K531" i="1"/>
  <c r="I528" i="1"/>
  <c r="I527" i="1"/>
  <c r="I526" i="1"/>
  <c r="H543" i="1"/>
  <c r="H528" i="1"/>
  <c r="H527" i="1"/>
  <c r="H526" i="1"/>
  <c r="H521" i="1"/>
  <c r="G528" i="1"/>
  <c r="G527" i="1"/>
  <c r="G526" i="1"/>
  <c r="F528" i="1"/>
  <c r="F527" i="1"/>
  <c r="F526" i="1"/>
  <c r="J472" i="1"/>
  <c r="H497" i="1"/>
  <c r="I502" i="1"/>
  <c r="I501" i="1"/>
  <c r="H502" i="1"/>
  <c r="H501" i="1"/>
  <c r="G502" i="1"/>
  <c r="I497" i="1"/>
  <c r="G459" i="1"/>
  <c r="G439" i="1"/>
  <c r="H379" i="1"/>
  <c r="H367" i="1"/>
  <c r="G367" i="1"/>
  <c r="F324" i="1"/>
  <c r="F305" i="1"/>
  <c r="I326" i="1"/>
  <c r="G326" i="1"/>
  <c r="F326" i="1"/>
  <c r="I307" i="1"/>
  <c r="G307" i="1"/>
  <c r="I288" i="1"/>
  <c r="G288" i="1"/>
  <c r="F288" i="1"/>
  <c r="H324" i="1"/>
  <c r="H305" i="1"/>
  <c r="H286" i="1"/>
  <c r="G324" i="1"/>
  <c r="G305" i="1"/>
  <c r="G286" i="1"/>
  <c r="F286" i="1"/>
  <c r="K323" i="1"/>
  <c r="K304" i="1"/>
  <c r="K285" i="1"/>
  <c r="H321" i="1"/>
  <c r="H302" i="1"/>
  <c r="H283" i="1"/>
  <c r="I320" i="1"/>
  <c r="I301" i="1"/>
  <c r="I282" i="1"/>
  <c r="H320" i="1"/>
  <c r="H301" i="1"/>
  <c r="H282" i="1"/>
  <c r="G320" i="1"/>
  <c r="G301" i="1"/>
  <c r="G282" i="1"/>
  <c r="F320" i="1"/>
  <c r="F301" i="1"/>
  <c r="F282" i="1"/>
  <c r="J314" i="1"/>
  <c r="J295" i="1"/>
  <c r="J276" i="1"/>
  <c r="I314" i="1"/>
  <c r="I295" i="1"/>
  <c r="I276" i="1"/>
  <c r="H314" i="1"/>
  <c r="H276" i="1"/>
  <c r="I319" i="1"/>
  <c r="H319" i="1"/>
  <c r="G319" i="1"/>
  <c r="F319" i="1"/>
  <c r="I281" i="1"/>
  <c r="I279" i="1"/>
  <c r="H281" i="1"/>
  <c r="H278" i="1"/>
  <c r="G281" i="1"/>
  <c r="F281" i="1"/>
  <c r="K240" i="1"/>
  <c r="K239" i="1"/>
  <c r="K238" i="1"/>
  <c r="J245" i="1"/>
  <c r="J243" i="1"/>
  <c r="I238" i="1"/>
  <c r="I243" i="1"/>
  <c r="I241" i="1"/>
  <c r="I240" i="1"/>
  <c r="I239" i="1"/>
  <c r="I236" i="1"/>
  <c r="H243" i="1"/>
  <c r="H245" i="1"/>
  <c r="H244" i="1"/>
  <c r="H241" i="1"/>
  <c r="H240" i="1"/>
  <c r="H239" i="1"/>
  <c r="H238" i="1"/>
  <c r="H236" i="1"/>
  <c r="G245" i="1"/>
  <c r="G243" i="1"/>
  <c r="G240" i="1"/>
  <c r="G239" i="1"/>
  <c r="G238" i="1"/>
  <c r="G236" i="1"/>
  <c r="G235" i="1"/>
  <c r="F245" i="1"/>
  <c r="F243" i="1"/>
  <c r="F240" i="1"/>
  <c r="F239" i="1"/>
  <c r="F238" i="1"/>
  <c r="F236" i="1"/>
  <c r="K222" i="1"/>
  <c r="K221" i="1"/>
  <c r="K220" i="1"/>
  <c r="K218" i="1"/>
  <c r="J227" i="1"/>
  <c r="J221" i="1"/>
  <c r="J220" i="1"/>
  <c r="I227" i="1"/>
  <c r="I222" i="1"/>
  <c r="I221" i="1"/>
  <c r="I220" i="1"/>
  <c r="I218" i="1"/>
  <c r="H227" i="1"/>
  <c r="H226" i="1"/>
  <c r="H225" i="1"/>
  <c r="H223" i="1"/>
  <c r="H222" i="1"/>
  <c r="H221" i="1"/>
  <c r="H220" i="1"/>
  <c r="H218" i="1"/>
  <c r="G227" i="1"/>
  <c r="G225" i="1"/>
  <c r="G222" i="1"/>
  <c r="G221" i="1"/>
  <c r="G220" i="1"/>
  <c r="G218" i="1"/>
  <c r="G216" i="1"/>
  <c r="F218" i="1"/>
  <c r="F227" i="1"/>
  <c r="F225" i="1"/>
  <c r="F222" i="1"/>
  <c r="F221" i="1"/>
  <c r="F220" i="1"/>
  <c r="K204" i="1"/>
  <c r="J203" i="1"/>
  <c r="J198" i="1"/>
  <c r="I209" i="1"/>
  <c r="I204" i="1"/>
  <c r="I203" i="1"/>
  <c r="I202" i="1"/>
  <c r="I198" i="1"/>
  <c r="I197" i="1"/>
  <c r="H209" i="1"/>
  <c r="H208" i="1"/>
  <c r="H207" i="1"/>
  <c r="H204" i="1"/>
  <c r="H203" i="1"/>
  <c r="H202" i="1"/>
  <c r="H200" i="1"/>
  <c r="H198" i="1"/>
  <c r="H197" i="1"/>
  <c r="G209" i="1"/>
  <c r="G207" i="1"/>
  <c r="G204" i="1"/>
  <c r="G203" i="1"/>
  <c r="G202" i="1"/>
  <c r="G200" i="1"/>
  <c r="G198" i="1"/>
  <c r="G197" i="1"/>
  <c r="F198" i="1"/>
  <c r="F209" i="1"/>
  <c r="F207" i="1"/>
  <c r="F205" i="1"/>
  <c r="F204" i="1"/>
  <c r="F203" i="1"/>
  <c r="F202" i="1"/>
  <c r="F200" i="1"/>
  <c r="F197" i="1"/>
  <c r="H102" i="1"/>
  <c r="G97" i="1"/>
  <c r="F110" i="1"/>
  <c r="H28" i="1"/>
  <c r="H24" i="1"/>
  <c r="H17" i="1"/>
  <c r="H9" i="1"/>
  <c r="H14" i="1"/>
  <c r="H22" i="1"/>
  <c r="H13" i="1"/>
  <c r="G9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C119" i="2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E122" i="2" s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A40" i="12" s="1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C25" i="10"/>
  <c r="L268" i="1"/>
  <c r="L269" i="1"/>
  <c r="L349" i="1"/>
  <c r="L350" i="1"/>
  <c r="I665" i="1"/>
  <c r="I670" i="1"/>
  <c r="G662" i="1"/>
  <c r="H662" i="1"/>
  <c r="I669" i="1"/>
  <c r="C42" i="10"/>
  <c r="C32" i="10"/>
  <c r="L374" i="1"/>
  <c r="L375" i="1"/>
  <c r="L376" i="1"/>
  <c r="L377" i="1"/>
  <c r="L378" i="1"/>
  <c r="C29" i="10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D18" i="2" s="1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2" i="2"/>
  <c r="C113" i="2"/>
  <c r="D115" i="2"/>
  <c r="F115" i="2"/>
  <c r="G115" i="2"/>
  <c r="E119" i="2"/>
  <c r="E121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G624" i="1" s="1"/>
  <c r="I51" i="1"/>
  <c r="G625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I470" i="1"/>
  <c r="J470" i="1"/>
  <c r="J476" i="1" s="1"/>
  <c r="H626" i="1" s="1"/>
  <c r="F474" i="1"/>
  <c r="G474" i="1"/>
  <c r="G476" i="1" s="1"/>
  <c r="H623" i="1" s="1"/>
  <c r="H474" i="1"/>
  <c r="I474" i="1"/>
  <c r="I476" i="1" s="1"/>
  <c r="H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G650" i="1"/>
  <c r="G651" i="1"/>
  <c r="G652" i="1"/>
  <c r="H652" i="1"/>
  <c r="G653" i="1"/>
  <c r="H653" i="1"/>
  <c r="G654" i="1"/>
  <c r="H654" i="1"/>
  <c r="H655" i="1"/>
  <c r="F192" i="1"/>
  <c r="C18" i="2"/>
  <c r="C26" i="10"/>
  <c r="L351" i="1"/>
  <c r="C70" i="2"/>
  <c r="D18" i="13"/>
  <c r="C18" i="13" s="1"/>
  <c r="F78" i="2"/>
  <c r="F81" i="2" s="1"/>
  <c r="D31" i="2"/>
  <c r="C78" i="2"/>
  <c r="D50" i="2"/>
  <c r="G157" i="2"/>
  <c r="F18" i="2"/>
  <c r="E103" i="2"/>
  <c r="G62" i="2"/>
  <c r="D19" i="13"/>
  <c r="C19" i="13" s="1"/>
  <c r="E78" i="2"/>
  <c r="E81" i="2" s="1"/>
  <c r="L427" i="1"/>
  <c r="J641" i="1"/>
  <c r="J639" i="1"/>
  <c r="K571" i="1"/>
  <c r="L433" i="1"/>
  <c r="L419" i="1"/>
  <c r="D81" i="2"/>
  <c r="I169" i="1"/>
  <c r="J644" i="1"/>
  <c r="J643" i="1"/>
  <c r="F476" i="1"/>
  <c r="H622" i="1" s="1"/>
  <c r="J140" i="1"/>
  <c r="G22" i="2"/>
  <c r="H140" i="1"/>
  <c r="L401" i="1"/>
  <c r="C139" i="2" s="1"/>
  <c r="L393" i="1"/>
  <c r="F22" i="13"/>
  <c r="C22" i="13" s="1"/>
  <c r="H25" i="13"/>
  <c r="C25" i="13" s="1"/>
  <c r="H571" i="1"/>
  <c r="L560" i="1"/>
  <c r="G192" i="1"/>
  <c r="H192" i="1"/>
  <c r="C35" i="10"/>
  <c r="J655" i="1"/>
  <c r="L570" i="1"/>
  <c r="I571" i="1"/>
  <c r="G36" i="2"/>
  <c r="C138" i="2"/>
  <c r="A31" i="12" l="1"/>
  <c r="A13" i="12"/>
  <c r="J645" i="1"/>
  <c r="L614" i="1"/>
  <c r="J651" i="1"/>
  <c r="K598" i="1"/>
  <c r="G647" i="1" s="1"/>
  <c r="J647" i="1" s="1"/>
  <c r="K545" i="1"/>
  <c r="H552" i="1"/>
  <c r="I545" i="1"/>
  <c r="L539" i="1"/>
  <c r="L534" i="1"/>
  <c r="G545" i="1"/>
  <c r="L524" i="1"/>
  <c r="K550" i="1"/>
  <c r="F552" i="1"/>
  <c r="L529" i="1"/>
  <c r="G552" i="1"/>
  <c r="H545" i="1"/>
  <c r="K549" i="1"/>
  <c r="H476" i="1"/>
  <c r="H624" i="1" s="1"/>
  <c r="G164" i="2"/>
  <c r="K503" i="1"/>
  <c r="G161" i="2"/>
  <c r="K500" i="1"/>
  <c r="I460" i="1"/>
  <c r="I461" i="1" s="1"/>
  <c r="H642" i="1" s="1"/>
  <c r="J642" i="1" s="1"/>
  <c r="J640" i="1"/>
  <c r="I446" i="1"/>
  <c r="G642" i="1" s="1"/>
  <c r="F130" i="2"/>
  <c r="F144" i="2" s="1"/>
  <c r="F145" i="2" s="1"/>
  <c r="L382" i="1"/>
  <c r="G636" i="1" s="1"/>
  <c r="J636" i="1" s="1"/>
  <c r="I369" i="1"/>
  <c r="H634" i="1" s="1"/>
  <c r="J634" i="1" s="1"/>
  <c r="F661" i="1"/>
  <c r="D127" i="2"/>
  <c r="D128" i="2" s="1"/>
  <c r="D145" i="2" s="1"/>
  <c r="G661" i="1"/>
  <c r="L362" i="1"/>
  <c r="C27" i="10" s="1"/>
  <c r="H661" i="1"/>
  <c r="D29" i="13"/>
  <c r="C29" i="13" s="1"/>
  <c r="E123" i="2"/>
  <c r="D17" i="13"/>
  <c r="C17" i="13" s="1"/>
  <c r="L256" i="1"/>
  <c r="E125" i="2"/>
  <c r="L309" i="1"/>
  <c r="E120" i="2"/>
  <c r="J338" i="1"/>
  <c r="J352" i="1" s="1"/>
  <c r="E124" i="2"/>
  <c r="H338" i="1"/>
  <c r="H352" i="1" s="1"/>
  <c r="E109" i="2"/>
  <c r="E118" i="2"/>
  <c r="L328" i="1"/>
  <c r="K338" i="1"/>
  <c r="K352" i="1" s="1"/>
  <c r="E110" i="2"/>
  <c r="G338" i="1"/>
  <c r="G352" i="1" s="1"/>
  <c r="F338" i="1"/>
  <c r="F352" i="1" s="1"/>
  <c r="E112" i="2"/>
  <c r="C13" i="10"/>
  <c r="L290" i="1"/>
  <c r="H33" i="13"/>
  <c r="K257" i="1"/>
  <c r="K271" i="1" s="1"/>
  <c r="C19" i="10"/>
  <c r="C125" i="2"/>
  <c r="C15" i="10"/>
  <c r="D6" i="13"/>
  <c r="C6" i="13" s="1"/>
  <c r="C12" i="10"/>
  <c r="L247" i="1"/>
  <c r="F257" i="1"/>
  <c r="F271" i="1" s="1"/>
  <c r="C110" i="2"/>
  <c r="J257" i="1"/>
  <c r="J271" i="1" s="1"/>
  <c r="I257" i="1"/>
  <c r="I271" i="1" s="1"/>
  <c r="E16" i="13"/>
  <c r="C16" i="13" s="1"/>
  <c r="H257" i="1"/>
  <c r="H271" i="1" s="1"/>
  <c r="C16" i="10"/>
  <c r="G257" i="1"/>
  <c r="G271" i="1" s="1"/>
  <c r="C20" i="10"/>
  <c r="C10" i="10"/>
  <c r="L229" i="1"/>
  <c r="C11" i="10"/>
  <c r="C123" i="2"/>
  <c r="D14" i="13"/>
  <c r="C14" i="13" s="1"/>
  <c r="E8" i="13"/>
  <c r="C8" i="13" s="1"/>
  <c r="D7" i="13"/>
  <c r="C7" i="13" s="1"/>
  <c r="D15" i="13"/>
  <c r="C15" i="13" s="1"/>
  <c r="G649" i="1"/>
  <c r="J649" i="1" s="1"/>
  <c r="D12" i="13"/>
  <c r="C12" i="13" s="1"/>
  <c r="C124" i="2"/>
  <c r="F662" i="1"/>
  <c r="I662" i="1" s="1"/>
  <c r="C21" i="10"/>
  <c r="C121" i="2"/>
  <c r="C118" i="2"/>
  <c r="D5" i="13"/>
  <c r="C5" i="13" s="1"/>
  <c r="C18" i="10"/>
  <c r="E13" i="13"/>
  <c r="C13" i="13" s="1"/>
  <c r="C122" i="2"/>
  <c r="C120" i="2"/>
  <c r="C17" i="10"/>
  <c r="C109" i="2"/>
  <c r="L211" i="1"/>
  <c r="E62" i="2"/>
  <c r="E63" i="2" s="1"/>
  <c r="E104" i="2" s="1"/>
  <c r="H112" i="1"/>
  <c r="H193" i="1" s="1"/>
  <c r="G629" i="1" s="1"/>
  <c r="J629" i="1" s="1"/>
  <c r="C81" i="2"/>
  <c r="F112" i="1"/>
  <c r="C36" i="10" s="1"/>
  <c r="C62" i="2"/>
  <c r="C63" i="2" s="1"/>
  <c r="J625" i="1"/>
  <c r="I52" i="1"/>
  <c r="H620" i="1" s="1"/>
  <c r="J620" i="1" s="1"/>
  <c r="J624" i="1"/>
  <c r="E31" i="2"/>
  <c r="H52" i="1"/>
  <c r="H619" i="1" s="1"/>
  <c r="J619" i="1" s="1"/>
  <c r="J623" i="1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G63" i="2"/>
  <c r="J618" i="1"/>
  <c r="G42" i="2"/>
  <c r="J51" i="1"/>
  <c r="G16" i="2"/>
  <c r="J19" i="1"/>
  <c r="G621" i="1" s="1"/>
  <c r="F33" i="13"/>
  <c r="G18" i="2"/>
  <c r="F545" i="1"/>
  <c r="H434" i="1"/>
  <c r="D103" i="2"/>
  <c r="D104" i="2" s="1"/>
  <c r="I140" i="1"/>
  <c r="I193" i="1" s="1"/>
  <c r="G630" i="1" s="1"/>
  <c r="J630" i="1" s="1"/>
  <c r="A22" i="12"/>
  <c r="G50" i="2"/>
  <c r="G51" i="2" s="1"/>
  <c r="J652" i="1"/>
  <c r="G571" i="1"/>
  <c r="I434" i="1"/>
  <c r="G434" i="1"/>
  <c r="I663" i="1"/>
  <c r="G104" i="2" l="1"/>
  <c r="K552" i="1"/>
  <c r="L545" i="1"/>
  <c r="H646" i="1"/>
  <c r="J646" i="1" s="1"/>
  <c r="I661" i="1"/>
  <c r="G635" i="1"/>
  <c r="J635" i="1" s="1"/>
  <c r="G660" i="1"/>
  <c r="G664" i="1" s="1"/>
  <c r="G667" i="1" s="1"/>
  <c r="E128" i="2"/>
  <c r="E115" i="2"/>
  <c r="H660" i="1"/>
  <c r="H664" i="1" s="1"/>
  <c r="H667" i="1" s="1"/>
  <c r="L338" i="1"/>
  <c r="L352" i="1" s="1"/>
  <c r="G633" i="1" s="1"/>
  <c r="J633" i="1" s="1"/>
  <c r="D31" i="13"/>
  <c r="C31" i="13" s="1"/>
  <c r="H648" i="1"/>
  <c r="J648" i="1" s="1"/>
  <c r="C115" i="2"/>
  <c r="E33" i="13"/>
  <c r="D35" i="13" s="1"/>
  <c r="L257" i="1"/>
  <c r="L271" i="1" s="1"/>
  <c r="G632" i="1" s="1"/>
  <c r="J632" i="1" s="1"/>
  <c r="C128" i="2"/>
  <c r="C28" i="10"/>
  <c r="D24" i="10" s="1"/>
  <c r="F660" i="1"/>
  <c r="C104" i="2"/>
  <c r="F193" i="1"/>
  <c r="G627" i="1" s="1"/>
  <c r="J627" i="1" s="1"/>
  <c r="E51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E145" i="2"/>
  <c r="H672" i="1"/>
  <c r="C6" i="10" s="1"/>
  <c r="D33" i="13"/>
  <c r="D36" i="13" s="1"/>
  <c r="C145" i="2"/>
  <c r="D25" i="10"/>
  <c r="D20" i="10"/>
  <c r="D26" i="10"/>
  <c r="D16" i="10"/>
  <c r="D15" i="10"/>
  <c r="D19" i="10"/>
  <c r="D10" i="10"/>
  <c r="C30" i="10"/>
  <c r="D23" i="10"/>
  <c r="D13" i="10"/>
  <c r="D11" i="10"/>
  <c r="D21" i="10"/>
  <c r="D22" i="10"/>
  <c r="D27" i="10"/>
  <c r="D18" i="10"/>
  <c r="D17" i="10"/>
  <c r="D12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<sst xmlns="http://schemas.openxmlformats.org/spreadsheetml/2006/main" count="3963" uniqueCount="919">
  <si>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</si>
  <si>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</si>
  <si>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</si>
  <si>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</si>
  <si>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</si>
  <si>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</si>
  <si>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</si>
  <si>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</si>
  <si>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</si>
  <si>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</si>
  <si>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</si>
  <si>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</si>
  <si>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</si>
  <si>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</si>
  <si>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</si>
  <si>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</si>
  <si>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</si>
  <si>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</si>
  <si>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</si>
  <si>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</si>
  <si>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</si>
  <si>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</si>
  <si>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</si>
  <si>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</si>
  <si>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</si>
  <si>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</si>
  <si>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</si>
  <si>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</si>
  <si>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</si>
  <si>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</si>
  <si>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</si>
  <si>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</si>
  <si>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</si>
  <si>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</si>
  <si>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</si>
  <si>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</si>
  <si>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</si>
  <si>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</si>
  <si>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</si>
  <si>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</si>
  <si>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</si>
  <si>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</si>
  <si>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</si>
  <si>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</si>
  <si>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</si>
  <si>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</si>
  <si>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</si>
  <si>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</si>
  <si>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</si>
  <si>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</si>
  <si>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</si>
  <si>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</si>
  <si>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</si>
  <si>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</si>
  <si>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</si>
  <si>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</si>
  <si>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</si>
  <si>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</si>
  <si>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</si>
  <si>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</si>
  <si>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</si>
  <si>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</si>
  <si>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</si>
  <si>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</si>
  <si>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</si>
  <si>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</si>
  <si>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</si>
  <si>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</si>
  <si>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</si>
  <si>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</si>
  <si>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</si>
  <si>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</si>
  <si>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</si>
  <si>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</si>
  <si>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</si>
  <si>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</si>
  <si>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</si>
  <si>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</si>
  <si>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</si>
  <si>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</si>
  <si>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</si>
  <si>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</si>
  <si>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</si>
  <si>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</si>
  <si>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</si>
  <si>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</si>
  <si>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</si>
  <si>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</si>
  <si>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</si>
  <si>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</si>
  <si>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</si>
  <si>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</si>
  <si>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</si>
  <si>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</si>
  <si>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</si>
  <si>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</si>
  <si>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</si>
  <si>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</si>
  <si>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</si>
  <si>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</si>
  <si>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</si>
  <si>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</si>
  <si>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</si>
  <si>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</si>
  <si>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</si>
  <si>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</si>
  <si>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</si>
  <si>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</si>
  <si>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</si>
  <si>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</si>
  <si>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</si>
  <si>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</si>
  <si>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</si>
  <si>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</si>
  <si>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</si>
  <si>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</si>
  <si>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</si>
  <si>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</si>
  <si>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</si>
  <si>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</si>
  <si>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</si>
  <si>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</si>
  <si>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</si>
  <si>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</si>
  <si>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</si>
  <si>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</si>
  <si>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</si>
  <si>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</si>
  <si>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</si>
  <si>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</si>
  <si>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</si>
  <si>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</si>
  <si>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</si>
  <si>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</si>
  <si>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</si>
  <si>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</si>
  <si>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</si>
  <si>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</si>
  <si>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</si>
  <si>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</si>
  <si>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</si>
  <si>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</si>
  <si>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</si>
  <si>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</si>
  <si>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</si>
  <si>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</si>
  <si>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</si>
  <si>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</si>
  <si>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</si>
  <si>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</si>
  <si>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</si>
  <si>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</si>
  <si>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</si>
  <si>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</si>
  <si>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</si>
  <si>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</si>
  <si>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</si>
  <si>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</si>
  <si>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</si>
  <si>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</si>
  <si>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</si>
  <si>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</si>
  <si>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</si>
  <si>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</si>
  <si>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</si>
  <si>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</si>
  <si>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</si>
  <si>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</si>
  <si>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</si>
  <si>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</si>
  <si>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</si>
  <si>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</si>
  <si>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</si>
  <si>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</si>
  <si>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</si>
  <si>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</si>
  <si>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</si>
  <si>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</si>
  <si>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</si>
  <si>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</si>
  <si>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</si>
  <si>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</si>
  <si>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</si>
  <si>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</si>
  <si>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</si>
  <si>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</si>
  <si>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</si>
  <si>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</si>
  <si>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</si>
  <si>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</si>
  <si>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</si>
  <si>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</si>
  <si>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</si>
  <si>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</si>
  <si>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</si>
  <si>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</si>
  <si>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</si>
  <si>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</si>
  <si>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</si>
  <si>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</si>
  <si>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</si>
  <si>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</si>
  <si>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</si>
  <si>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</si>
  <si>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</si>
  <si>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</si>
  <si>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</si>
  <si>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</si>
  <si>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</si>
  <si>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</si>
  <si>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</si>
  <si>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</si>
  <si>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</si>
  <si>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</si>
  <si>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</si>
  <si>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</si>
  <si>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</si>
  <si>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</si>
  <si>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</si>
  <si>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</si>
  <si>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</si>
  <si>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</si>
  <si>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</si>
  <si>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</si>
  <si>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</si>
  <si>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</si>
  <si>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</si>
  <si>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</si>
  <si>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</si>
  <si>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</si>
  <si>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</si>
  <si>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</si>
  <si>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</si>
  <si>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</si>
  <si>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</si>
  <si>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</si>
  <si>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</si>
  <si>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</si>
  <si>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</si>
  <si>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</si>
  <si>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</si>
  <si>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</si>
  <si>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</si>
  <si>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</si>
  <si>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</si>
  <si>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</si>
  <si>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</si>
  <si>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</si>
  <si>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</si>
  <si>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</si>
  <si>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</si>
  <si>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</si>
  <si>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</si>
  <si>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</si>
  <si>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</si>
  <si>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</si>
  <si>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</si>
  <si>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</si>
  <si>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</si>
  <si>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</si>
  <si>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</si>
  <si>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</si>
  <si>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</si>
  <si>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</si>
  <si>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</si>
  <si>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</si>
  <si>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</si>
  <si>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</si>
  <si>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</si>
  <si>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</si>
  <si>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</si>
  <si>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</si>
  <si>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</si>
  <si>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</si>
  <si>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</si>
  <si>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</si>
  <si>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</si>
  <si>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</si>
  <si>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</si>
  <si>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</si>
  <si>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</si>
  <si>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</si>
  <si>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</si>
  <si>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</si>
  <si>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</si>
  <si>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</si>
  <si>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</si>
  <si>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</si>
  <si>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</si>
  <si>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</si>
  <si>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</si>
  <si>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</si>
  <si>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</si>
  <si>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</si>
  <si>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</si>
  <si>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</si>
  <si>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</si>
  <si>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</si>
  <si>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</si>
  <si>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</si>
  <si>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</si>
  <si>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</si>
  <si>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</si>
  <si>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</si>
  <si>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</si>
  <si>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</si>
  <si>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</si>
  <si>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</si>
  <si>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</si>
  <si>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</si>
  <si>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</si>
  <si>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</si>
  <si>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</si>
  <si>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</si>
  <si>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</si>
  <si>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</si>
  <si>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</si>
  <si>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</si>
  <si>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</si>
  <si>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</si>
  <si>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</si>
  <si>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</si>
  <si>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</si>
  <si>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</si>
  <si>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</si>
  <si>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</si>
  <si>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</si>
  <si>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</si>
  <si>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</si>
  <si>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</si>
  <si>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</si>
  <si>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</si>
  <si>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</si>
  <si>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</si>
  <si>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</si>
  <si>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</si>
  <si>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</si>
  <si>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</si>
  <si>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</si>
  <si>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</si>
  <si>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</si>
  <si>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</si>
  <si>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</si>
  <si>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</si>
  <si>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</si>
  <si>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</si>
  <si>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</si>
  <si>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</si>
  <si>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</si>
  <si>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</si>
  <si>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</si>
  <si>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</si>
  <si>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</si>
  <si>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</si>
  <si>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</si>
  <si>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</si>
  <si>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</si>
  <si>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</si>
  <si>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</si>
  <si>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</si>
  <si>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</si>
  <si>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</si>
  <si>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</si>
  <si>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</si>
  <si>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</si>
  <si>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</si>
  <si>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</si>
  <si>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</si>
  <si>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</si>
  <si>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</si>
  <si>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</si>
  <si>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</si>
  <si>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</si>
  <si>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</si>
  <si>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</si>
  <si>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</si>
  <si>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</si>
  <si>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</si>
  <si>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</si>
  <si>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</si>
  <si>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</si>
  <si>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</si>
  <si>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</si>
  <si>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</si>
  <si>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</si>
  <si>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</si>
  <si>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</si>
  <si>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</si>
  <si>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</si>
  <si>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</si>
  <si>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</si>
  <si>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</si>
  <si>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</si>
  <si>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</si>
  <si>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</si>
  <si>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</si>
  <si>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</si>
  <si>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</si>
  <si>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</si>
  <si>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</si>
  <si>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</si>
  <si>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</si>
  <si>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</si>
  <si>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</si>
  <si>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</si>
  <si>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</si>
  <si>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</si>
  <si>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</si>
  <si>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</si>
  <si>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</si>
  <si>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</si>
  <si>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</si>
  <si>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</si>
  <si>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</si>
  <si>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</si>
  <si>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</si>
  <si>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</si>
  <si>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</si>
  <si>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</si>
  <si>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</si>
  <si>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</si>
  <si>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</si>
  <si>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</si>
  <si>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</si>
  <si>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</si>
  <si>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</si>
  <si>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</si>
  <si>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</si>
  <si>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</si>
  <si>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</si>
  <si>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</si>
  <si>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</si>
  <si>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</si>
  <si>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</si>
  <si>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</si>
  <si>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</si>
  <si>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</si>
  <si>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</si>
  <si>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</si>
  <si>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</si>
  <si>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</si>
  <si>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</si>
  <si>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</si>
  <si>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</si>
  <si>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</si>
  <si>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</si>
  <si>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</si>
  <si>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</si>
  <si>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</si>
  <si>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</si>
  <si>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</si>
  <si>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</si>
  <si>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</si>
  <si>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</si>
  <si>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</si>
  <si>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</si>
  <si>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</si>
  <si>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</si>
  <si>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</si>
  <si>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</si>
  <si>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</si>
  <si>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</si>
  <si>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</si>
  <si>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</si>
  <si>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</si>
  <si>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</si>
  <si>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</si>
  <si>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</si>
  <si>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</si>
  <si>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</si>
  <si>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</si>
  <si>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</si>
  <si>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</si>
  <si>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</si>
  <si>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</si>
  <si>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</si>
  <si>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</si>
  <si>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</si>
  <si>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</si>
  <si>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</si>
  <si>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</si>
  <si>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</si>
  <si>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</si>
  <si>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</si>
  <si>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</si>
  <si>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</si>
  <si>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</si>
  <si>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</si>
  <si>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</si>
  <si>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</si>
  <si>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</si>
  <si>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</si>
  <si>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</si>
  <si>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</si>
  <si>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</si>
  <si>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</si>
  <si>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</si>
  <si>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</si>
  <si>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</si>
  <si>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</si>
  <si>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</si>
  <si>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</si>
  <si>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</si>
  <si>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</si>
  <si>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</si>
  <si>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</si>
  <si>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</si>
  <si>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</si>
  <si>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</si>
  <si>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</si>
  <si>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</si>
  <si>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</si>
  <si>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</si>
  <si>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</si>
  <si>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</si>
  <si>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</si>
  <si>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</si>
  <si>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</si>
  <si>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</si>
  <si>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</si>
  <si>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</si>
  <si>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</si>
  <si>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</si>
  <si>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</si>
  <si>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</si>
  <si>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</si>
  <si>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</si>
  <si>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</si>
  <si>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</si>
  <si>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</si>
  <si>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</si>
  <si>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</si>
  <si>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</si>
  <si>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</si>
  <si>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</si>
  <si>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</si>
  <si>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</si>
  <si>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</si>
  <si>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</si>
  <si>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</si>
  <si>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</si>
  <si>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</si>
  <si>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</si>
  <si>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</si>
  <si>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</si>
  <si>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</si>
  <si>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</si>
  <si>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</si>
  <si>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</si>
  <si>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</si>
  <si>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</si>
  <si>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</si>
  <si>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</si>
  <si>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</si>
  <si>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</si>
  <si>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</si>
  <si>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</si>
  <si>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</si>
  <si>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</si>
  <si>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</si>
  <si>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</si>
  <si>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</si>
  <si>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</si>
  <si>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</si>
  <si>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</si>
  <si>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</si>
  <si>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</si>
  <si>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</si>
  <si>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</si>
  <si>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</si>
  <si>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</si>
  <si>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</si>
  <si>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</si>
  <si>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</si>
  <si>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</si>
  <si>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</si>
  <si>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</si>
  <si>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</si>
  <si>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</si>
  <si>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</si>
  <si>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</si>
  <si>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</si>
  <si>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</si>
  <si>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</si>
  <si>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</si>
  <si>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</si>
  <si>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</si>
  <si>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</si>
  <si>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</si>
  <si>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</si>
  <si>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</si>
  <si>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</si>
  <si>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</si>
  <si>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</si>
  <si>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</si>
  <si>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</si>
  <si>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</si>
  <si>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</si>
  <si>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</si>
  <si>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</si>
  <si>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</si>
  <si>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</si>
  <si>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</si>
  <si>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</si>
  <si>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</si>
  <si>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</si>
  <si>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</si>
  <si>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</si>
  <si>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</si>
  <si>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</si>
  <si>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</si>
  <si>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</si>
  <si>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</si>
  <si>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</si>
  <si>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</si>
  <si>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</si>
  <si>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</si>
  <si>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</si>
  <si>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</si>
  <si>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</si>
  <si>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</si>
  <si>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</si>
  <si>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</si>
  <si>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</si>
  <si>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</si>
  <si>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</si>
  <si>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</si>
  <si>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</si>
  <si>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</si>
  <si>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</si>
  <si>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</si>
  <si>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</si>
  <si>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</si>
  <si>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</si>
  <si>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</si>
  <si>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</si>
  <si>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</si>
  <si>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</si>
  <si>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</si>
  <si>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</si>
  <si>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</si>
  <si>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</si>
  <si>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</si>
  <si>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</si>
  <si>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</si>
  <si>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</si>
  <si>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</si>
  <si>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</si>
  <si>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</si>
  <si>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</si>
  <si>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</si>
  <si>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</si>
  <si>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</si>
  <si>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</si>
  <si>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</si>
  <si>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</si>
  <si>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</si>
  <si>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</si>
  <si>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</si>
  <si>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</si>
  <si>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</si>
  <si>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</si>
  <si>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</si>
  <si>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</si>
  <si>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</si>
  <si>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</si>
  <si>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</si>
  <si>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</si>
  <si>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</si>
  <si>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</si>
  <si>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</si>
  <si>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</si>
  <si>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</si>
  <si>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</si>
  <si>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</si>
  <si>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</si>
  <si>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</si>
  <si>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</si>
  <si>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</si>
  <si>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</si>
  <si>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</si>
  <si>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</si>
  <si>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</si>
  <si>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</si>
  <si>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</si>
  <si>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</si>
  <si>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</si>
  <si>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</si>
  <si>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</si>
  <si>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</si>
  <si>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</si>
  <si>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</si>
  <si>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</si>
  <si>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</si>
  <si>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</si>
  <si>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</si>
  <si>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</si>
  <si>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</si>
  <si>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</si>
  <si>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</si>
  <si>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</si>
  <si>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</si>
  <si>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</si>
  <si>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</si>
  <si>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</si>
  <si>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</si>
  <si>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</si>
  <si>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</si>
  <si>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</si>
  <si>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</si>
  <si>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</si>
  <si>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</si>
  <si>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</si>
  <si>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</si>
  <si>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</si>
  <si>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</si>
  <si>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</si>
  <si>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</si>
  <si>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</si>
  <si>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</si>
  <si>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</si>
  <si>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</si>
  <si>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</si>
  <si>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</si>
  <si>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</si>
  <si>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</si>
  <si>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</si>
  <si>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</si>
  <si>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</si>
  <si>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</si>
  <si>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</si>
  <si>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</si>
  <si>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</si>
  <si>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</si>
  <si>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</si>
  <si>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</si>
  <si>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</si>
  <si>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</si>
  <si>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</si>
  <si>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</si>
  <si>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</si>
  <si>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</si>
  <si>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</si>
  <si>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</si>
  <si>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</si>
  <si>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</si>
  <si>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</si>
  <si>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</si>
  <si>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</si>
  <si>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</si>
  <si>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</si>
  <si>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</si>
  <si>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</si>
  <si>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</si>
  <si>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</si>
  <si>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</si>
  <si>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</si>
  <si>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</si>
  <si>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</si>
  <si>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</si>
  <si>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</si>
  <si>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</si>
  <si>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</si>
  <si>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</si>
  <si>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</si>
  <si>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</si>
  <si>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</si>
  <si>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</si>
  <si>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</si>
  <si>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</si>
  <si>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</si>
  <si>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</si>
  <si>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</si>
  <si>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</si>
  <si>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</si>
  <si>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</si>
  <si>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</si>
  <si>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</si>
  <si>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</si>
  <si>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</si>
  <si>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</si>
  <si>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</si>
  <si>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</si>
  <si>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</si>
  <si>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</si>
  <si>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</si>
  <si>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</si>
  <si>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</si>
  <si>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</si>
  <si>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</si>
  <si>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</si>
  <si>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</si>
  <si>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</si>
  <si>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</si>
  <si>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</si>
  <si>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</si>
  <si>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</si>
  <si>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</si>
  <si>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</si>
  <si>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</si>
  <si>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</si>
  <si>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</si>
  <si>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</si>
  <si>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</si>
  <si>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</si>
  <si>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</si>
  <si>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</si>
  <si>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</si>
  <si>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</si>
  <si>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</si>
  <si>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</si>
  <si>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</si>
  <si>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</si>
  <si>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</si>
  <si>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</si>
  <si>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</si>
  <si>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</si>
  <si>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</si>
  <si>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</si>
  <si>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</si>
  <si>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</si>
  <si>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</si>
  <si>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</si>
  <si>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</si>
  <si>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</si>
  <si>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</si>
  <si>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</si>
  <si>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</si>
  <si>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</si>
  <si>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</si>
  <si>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</si>
  <si>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</si>
  <si>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</si>
  <si>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</si>
  <si>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</si>
  <si>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</si>
  <si>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</si>
  <si>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</si>
  <si>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</si>
  <si>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</si>
  <si>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</si>
  <si>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</si>
  <si>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</si>
  <si>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</si>
  <si>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</si>
  <si>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</si>
  <si>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</si>
  <si>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</si>
  <si>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</si>
  <si>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</si>
  <si>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</si>
  <si>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</si>
  <si>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</si>
  <si>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</si>
  <si>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</si>
  <si>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</si>
  <si>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</si>
  <si>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</si>
  <si>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</si>
  <si>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</si>
  <si>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</si>
  <si>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</si>
  <si>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</si>
  <si>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</si>
  <si>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</si>
  <si>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</si>
  <si>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</si>
  <si>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</si>
  <si>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</si>
  <si>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</si>
  <si>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</si>
  <si>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</si>
  <si>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</si>
  <si>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</si>
  <si>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</si>
  <si>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</si>
  <si>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</si>
  <si>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</si>
  <si>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</si>
  <si>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</si>
  <si>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</si>
  <si>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</si>
  <si>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</si>
  <si>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</si>
  <si>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</si>
  <si>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</si>
  <si>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</si>
  <si>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</si>
  <si>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</si>
  <si>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</si>
  <si>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</si>
  <si>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</si>
  <si>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</si>
  <si>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</si>
  <si>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</si>
  <si>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</si>
  <si>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</si>
  <si>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</si>
  <si>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</si>
  <si>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</si>
  <si>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</si>
  <si>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</si>
  <si>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</si>
  <si>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</si>
  <si>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</si>
  <si>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</si>
  <si>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</si>
  <si>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</si>
  <si>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</si>
  <si>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</si>
  <si>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</si>
  <si>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7/99</t>
  </si>
  <si>
    <t>08/06</t>
  </si>
  <si>
    <t>07/10</t>
  </si>
  <si>
    <t>8/19</t>
  </si>
  <si>
    <t>8/16</t>
  </si>
  <si>
    <t>08/39</t>
  </si>
  <si>
    <t>KEENE SCHOOL DISTRICT</t>
  </si>
  <si>
    <t xml:space="preserve">DIFFERENCE IS PAYMENT TO CHESTERFIELD FOR STUDENT TO BRATTLEBORO VT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</si>
</sst>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279</v>
      </c>
      <c r="C2" s="21">
        <v>279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2675807.17+1000-918234.64</f>
        <v>1758572.5299999998</v>
      </c>
      <c r="G9" s="18">
        <f>158586.88+300</f>
        <v>158886.88</v>
      </c>
      <c r="H9" s="18">
        <f>295831.4+229770.48+584.46</f>
        <v>526186.34</v>
      </c>
      <c r="I9" s="18">
        <v>434055.12</v>
      </c>
      <c r="J9" s="67">
        <f>SUM(I439)</f>
        <v>349876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701959.07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379546.02</v>
      </c>
      <c r="G13" s="18">
        <v>56723.9</v>
      </c>
      <c r="H13" s="18">
        <f>712263.41</f>
        <v>712263.41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32052.97</v>
      </c>
      <c r="G14" s="18">
        <v>5897.82</v>
      </c>
      <c r="H14" s="18">
        <f>83240.89</f>
        <v>83240.89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80</v>
      </c>
      <c r="G17" s="18"/>
      <c r="H17" s="18">
        <f>3360.32+1400</f>
        <v>4760.32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2872210.59</v>
      </c>
      <c r="G19" s="41">
        <f>SUM(G9:G18)</f>
        <v>221508.6</v>
      </c>
      <c r="H19" s="41">
        <f>SUM(H9:H18)</f>
        <v>1326450.96</v>
      </c>
      <c r="I19" s="41">
        <f>SUM(I9:I18)</f>
        <v>434055.12</v>
      </c>
      <c r="J19" s="41">
        <f>SUM(J9:J18)</f>
        <v>349876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f>701959.07</f>
        <v>701959.07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24772.91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341466.98</v>
      </c>
      <c r="G24" s="18"/>
      <c r="H24" s="18">
        <f>8840.76+142.06+1623.71</f>
        <v>10606.529999999999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>
        <v>36544</v>
      </c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142296.14000000001</v>
      </c>
      <c r="G28" s="18">
        <v>3109.08</v>
      </c>
      <c r="H28" s="18">
        <f>2235.47+4823.9</f>
        <v>7059.369999999999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3869</v>
      </c>
      <c r="G30" s="18">
        <v>27472.2</v>
      </c>
      <c r="H30" s="18">
        <v>58335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512405.02999999997</v>
      </c>
      <c r="G32" s="41">
        <f>SUM(G22:G31)</f>
        <v>30581.279999999999</v>
      </c>
      <c r="H32" s="41">
        <f>SUM(H22:H31)</f>
        <v>777959.97</v>
      </c>
      <c r="I32" s="41">
        <f>SUM(I22:I31)</f>
        <v>36544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80</v>
      </c>
      <c r="G36" s="18"/>
      <c r="H36" s="18">
        <v>1400</v>
      </c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190927.32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397511.12</v>
      </c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>
        <f>378930.23+168160.76</f>
        <v>547090.99</v>
      </c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349876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137583.82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2122141.7400000002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2359805.56</v>
      </c>
      <c r="G51" s="41">
        <f>SUM(G35:G50)</f>
        <v>190927.32</v>
      </c>
      <c r="H51" s="41">
        <f>SUM(H35:H50)</f>
        <v>548490.99</v>
      </c>
      <c r="I51" s="41">
        <f>SUM(I35:I50)</f>
        <v>397511.12</v>
      </c>
      <c r="J51" s="41">
        <f>SUM(J35:J50)</f>
        <v>349876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2872210.59</v>
      </c>
      <c r="G52" s="41">
        <f>G51+G32</f>
        <v>221508.6</v>
      </c>
      <c r="H52" s="41">
        <f>H51+H32</f>
        <v>1326450.96</v>
      </c>
      <c r="I52" s="41">
        <f>I51+I32</f>
        <v>434055.12</v>
      </c>
      <c r="J52" s="41">
        <f>J51+J32</f>
        <v>349876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26959534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26959534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51521</v>
      </c>
      <c r="G63" s="24" t="s">
        <v>289</v>
      </c>
      <c r="H63" s="18">
        <v>117749.25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>
        <v>9843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>
        <v>198376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72640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8223507.7599999998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3062405.91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78690.06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11416124.73</v>
      </c>
      <c r="G79" s="45" t="s">
        <v>289</v>
      </c>
      <c r="H79" s="41">
        <f>SUM(H63:H78)</f>
        <v>398608.25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1940.48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260381.58+35344.54+493185.05+29286.25+16740.73</f>
        <v>834938.14999999991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40920.28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</v>
      </c>
      <c r="G102" s="18">
        <v>1000</v>
      </c>
      <c r="H102" s="18">
        <f>232587.01</f>
        <v>232587.01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>
        <v>4846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51487.25</v>
      </c>
      <c r="G105" s="18"/>
      <c r="H105" s="18">
        <v>81746.509999999995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1377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1074386.57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119789.16</f>
        <v>119789.16</v>
      </c>
      <c r="G110" s="18">
        <v>20325</v>
      </c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1290400.74</v>
      </c>
      <c r="G111" s="41">
        <f>SUM(G96:G110)</f>
        <v>856263.14999999991</v>
      </c>
      <c r="H111" s="41">
        <f>SUM(H96:H110)</f>
        <v>319179.52000000002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39666059.470000006</v>
      </c>
      <c r="G112" s="41">
        <f>G60+G111</f>
        <v>856263.14999999991</v>
      </c>
      <c r="H112" s="41">
        <f>H60+H79+H94+H111</f>
        <v>717787.77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10293792.279999999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4380460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14674252.279999999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1822979.26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405128.21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194452.01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13608.21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2422559.4800000004</v>
      </c>
      <c r="G136" s="41">
        <f>SUM(G123:G135)</f>
        <v>13608.21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17096811.759999998</v>
      </c>
      <c r="G140" s="41">
        <f>G121+SUM(G136:G137)</f>
        <v>13608.21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658360.15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296704.40000000002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280888.06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177938.52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666015.72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736289.32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538971.31000000006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538971.31000000006</v>
      </c>
      <c r="G162" s="41">
        <f>SUM(G150:G161)</f>
        <v>666015.72</v>
      </c>
      <c r="H162" s="41">
        <f>SUM(H150:H161)</f>
        <v>2150180.4500000002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538971.31000000006</v>
      </c>
      <c r="G169" s="41">
        <f>G147+G162+SUM(G163:G168)</f>
        <v>666015.72</v>
      </c>
      <c r="H169" s="41">
        <f>H147+H162+SUM(H163:H168)</f>
        <v>2150180.4500000002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>
        <v>127.74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127.74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50000</v>
      </c>
      <c r="I179" s="18">
        <v>230000</v>
      </c>
      <c r="J179" s="18">
        <v>370000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383626.68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383626.68</v>
      </c>
      <c r="G183" s="41">
        <f>SUM(G179:G182)</f>
        <v>0</v>
      </c>
      <c r="H183" s="41">
        <f>SUM(H179:H182)</f>
        <v>50000</v>
      </c>
      <c r="I183" s="41">
        <f>SUM(I179:I182)</f>
        <v>230000</v>
      </c>
      <c r="J183" s="41">
        <f>SUM(J179:J182)</f>
        <v>370000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>
        <v>162769</v>
      </c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162769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383626.68</v>
      </c>
      <c r="G192" s="41">
        <f>G183+SUM(G188:G191)</f>
        <v>0</v>
      </c>
      <c r="H192" s="41">
        <f>+H183+SUM(H188:H191)</f>
        <v>50000</v>
      </c>
      <c r="I192" s="41">
        <f>I177+I183+SUM(I188:I191)</f>
        <v>392896.74</v>
      </c>
      <c r="J192" s="41">
        <f>J183</f>
        <v>370000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57685469.220000006</v>
      </c>
      <c r="G193" s="47">
        <f>G112+G140+G169+G192</f>
        <v>1535887.0799999998</v>
      </c>
      <c r="H193" s="47">
        <f>H112+H140+H169+H192</f>
        <v>2917968.22</v>
      </c>
      <c r="I193" s="47">
        <f>I112+I140+I169+I192</f>
        <v>392896.74</v>
      </c>
      <c r="J193" s="47">
        <f>J112+J140+J192</f>
        <v>370000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5525403.97</f>
        <v>5525403.9699999997</v>
      </c>
      <c r="G197" s="18">
        <f>2415100.28</f>
        <v>2415100.2799999998</v>
      </c>
      <c r="H197" s="18">
        <f>3602.76</f>
        <v>3602.76</v>
      </c>
      <c r="I197" s="18">
        <f>215129.52</f>
        <v>215129.52</v>
      </c>
      <c r="J197" s="18">
        <v>21329.97</v>
      </c>
      <c r="K197" s="18">
        <v>25602.82</v>
      </c>
      <c r="L197" s="19">
        <f>SUM(F197:K197)</f>
        <v>8206169.3199999994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3169400.82+108263.08</f>
        <v>3277663.9</v>
      </c>
      <c r="G198" s="18">
        <f>1188493.12+44829.07</f>
        <v>1233322.1900000002</v>
      </c>
      <c r="H198" s="18">
        <f>505132.54+731.45</f>
        <v>505863.99</v>
      </c>
      <c r="I198" s="18">
        <f>20166.96+1238.55</f>
        <v>21405.51</v>
      </c>
      <c r="J198" s="18">
        <f>3454.22+33.73</f>
        <v>3487.95</v>
      </c>
      <c r="K198" s="18"/>
      <c r="L198" s="19">
        <f>SUM(F198:K198)</f>
        <v>5041743.54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9212+37615</f>
        <v>46827</v>
      </c>
      <c r="G200" s="18">
        <f>1878.17+7787.9</f>
        <v>9666.07</v>
      </c>
      <c r="H200" s="18">
        <f>369+211</f>
        <v>580</v>
      </c>
      <c r="I200" s="18">
        <v>353.42</v>
      </c>
      <c r="J200" s="18"/>
      <c r="K200" s="18"/>
      <c r="L200" s="19">
        <f>SUM(F200:K200)</f>
        <v>57426.49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8583.56+312145.42+235577.38+286389.24+671413.47+199431.04+49785</f>
        <v>1763325.1099999999</v>
      </c>
      <c r="G202" s="18">
        <f>690.2+148927.11+81431.42+114378.91+287381.41+103469.81+26018.1</f>
        <v>762296.96000000008</v>
      </c>
      <c r="H202" s="18">
        <f>6198.75+367.53+28820+253.68+51494+45970.5</f>
        <v>133104.46</v>
      </c>
      <c r="I202" s="18">
        <f>4491.48+2957.72+3223.48+2075.35</f>
        <v>12748.029999999999</v>
      </c>
      <c r="J202" s="18"/>
      <c r="K202" s="18"/>
      <c r="L202" s="19">
        <f t="shared" ref="L202:L208" si="0">SUM(F202:K202)</f>
        <v>2671474.5599999996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6500+53569.1+246059.08</f>
        <v>306128.18</v>
      </c>
      <c r="G203" s="18">
        <f>1442.53+11029.41+25066.78+148082.38</f>
        <v>185621.1</v>
      </c>
      <c r="H203" s="18">
        <f>17699.4+43290.03+2628+34957.8+5568.44</f>
        <v>104143.67000000001</v>
      </c>
      <c r="I203" s="18">
        <f>8567.24+27819+3314.94</f>
        <v>39701.18</v>
      </c>
      <c r="J203" s="18">
        <f>2461.41</f>
        <v>2461.41</v>
      </c>
      <c r="K203" s="18">
        <v>150</v>
      </c>
      <c r="L203" s="19">
        <f t="shared" si="0"/>
        <v>638205.54000000015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8914.43+500+1980+1800+160274.26</f>
        <v>173468.69</v>
      </c>
      <c r="G204" s="18">
        <f>29173.07+716.19+40.2+159.2+144.65+70548.6+14804.67</f>
        <v>115586.58</v>
      </c>
      <c r="H204" s="18">
        <f>31084.75+231.24+5376.6+23099.98+567059.04+3960.61</f>
        <v>630812.22000000009</v>
      </c>
      <c r="I204" s="18">
        <f>14982.5+2421.07</f>
        <v>17403.57</v>
      </c>
      <c r="J204" s="18">
        <v>744</v>
      </c>
      <c r="K204" s="18">
        <f>16453.63+5979.19+150</f>
        <v>22582.82</v>
      </c>
      <c r="L204" s="19">
        <f t="shared" si="0"/>
        <v>960597.88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834864.53</f>
        <v>834864.53</v>
      </c>
      <c r="G205" s="18">
        <v>309872.65000000002</v>
      </c>
      <c r="H205" s="18">
        <v>47603.25</v>
      </c>
      <c r="I205" s="18">
        <v>4900.6499999999996</v>
      </c>
      <c r="J205" s="18">
        <v>642.4</v>
      </c>
      <c r="K205" s="18">
        <v>2483</v>
      </c>
      <c r="L205" s="19">
        <f t="shared" si="0"/>
        <v>1200366.48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>
        <v>7197.12</v>
      </c>
      <c r="I206" s="18"/>
      <c r="J206" s="18"/>
      <c r="K206" s="18">
        <v>8747.77</v>
      </c>
      <c r="L206" s="19">
        <f t="shared" si="0"/>
        <v>15944.89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541290.33+1268.88</f>
        <v>542559.21</v>
      </c>
      <c r="G207" s="18">
        <f>270918.88+298.06</f>
        <v>271216.94</v>
      </c>
      <c r="H207" s="18">
        <f>256509.78+25947.86+39886.22</f>
        <v>322343.86</v>
      </c>
      <c r="I207" s="18">
        <v>466958.88</v>
      </c>
      <c r="J207" s="18">
        <v>10603.16</v>
      </c>
      <c r="K207" s="18">
        <v>1668.11</v>
      </c>
      <c r="L207" s="19">
        <f t="shared" si="0"/>
        <v>1615350.1599999997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321916+398799.4+19955.18</f>
        <v>740670.58000000007</v>
      </c>
      <c r="I208" s="18"/>
      <c r="J208" s="18"/>
      <c r="K208" s="18"/>
      <c r="L208" s="19">
        <f t="shared" si="0"/>
        <v>740670.58000000007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10261.07+96570.04</f>
        <v>106831.10999999999</v>
      </c>
      <c r="G209" s="18">
        <f>4479.84+46033.47</f>
        <v>50513.31</v>
      </c>
      <c r="H209" s="18">
        <f>3081.53+8617.21+24190.15</f>
        <v>35888.89</v>
      </c>
      <c r="I209" s="18">
        <f>79.47+14055.85</f>
        <v>14135.32</v>
      </c>
      <c r="J209" s="18">
        <f>487.42+123230.5</f>
        <v>123717.92</v>
      </c>
      <c r="K209" s="18"/>
      <c r="L209" s="19">
        <f>SUM(F209:K209)</f>
        <v>331086.55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12577071.699999996</v>
      </c>
      <c r="G211" s="41">
        <f t="shared" si="1"/>
        <v>5353196.08</v>
      </c>
      <c r="H211" s="41">
        <f t="shared" si="1"/>
        <v>2531810.8000000003</v>
      </c>
      <c r="I211" s="41">
        <f t="shared" si="1"/>
        <v>792736.08</v>
      </c>
      <c r="J211" s="41">
        <f t="shared" si="1"/>
        <v>162986.81</v>
      </c>
      <c r="K211" s="41">
        <f t="shared" si="1"/>
        <v>61234.520000000004</v>
      </c>
      <c r="L211" s="41">
        <f t="shared" si="1"/>
        <v>21479035.990000006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2805398.37</v>
      </c>
      <c r="G215" s="18">
        <v>1268948.8400000001</v>
      </c>
      <c r="H215" s="18">
        <v>4313.5</v>
      </c>
      <c r="I215" s="18">
        <v>82612.69</v>
      </c>
      <c r="J215" s="18">
        <v>14858.41</v>
      </c>
      <c r="K215" s="18">
        <v>12149.76</v>
      </c>
      <c r="L215" s="19">
        <f>SUM(F215:K215)</f>
        <v>4188281.57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1081003.31</v>
      </c>
      <c r="G216" s="18">
        <f>533988.53</f>
        <v>533988.53</v>
      </c>
      <c r="H216" s="18">
        <v>962937.69</v>
      </c>
      <c r="I216" s="18">
        <v>4357.25</v>
      </c>
      <c r="J216" s="18">
        <v>1654.39</v>
      </c>
      <c r="K216" s="18"/>
      <c r="L216" s="19">
        <f>SUM(F216:K216)</f>
        <v>2583941.1700000004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39211+30534.55+6187.5+284</f>
        <v>76217.05</v>
      </c>
      <c r="G218" s="18">
        <f>7477.45+5179.23+1373.65+63.05</f>
        <v>14093.38</v>
      </c>
      <c r="H218" s="18">
        <f>4000+7678.5</f>
        <v>11678.5</v>
      </c>
      <c r="I218" s="18">
        <f>4451.65+6552.38</f>
        <v>11004.029999999999</v>
      </c>
      <c r="J218" s="18">
        <v>1304.07</v>
      </c>
      <c r="K218" s="18">
        <f>895+1659</f>
        <v>2554</v>
      </c>
      <c r="L218" s="19">
        <f>SUM(F218:K218)</f>
        <v>116851.03000000001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4516.82+187789.14+59198.1+134303+27353.56+22879.16+62337.98</f>
        <v>498377.76</v>
      </c>
      <c r="G220" s="18">
        <f>362.99+97326.23+31422.08+62108.88+12067+12549.8+27828.02</f>
        <v>243664.99999999997</v>
      </c>
      <c r="H220" s="18">
        <f>3892.4+21910+6900+2100</f>
        <v>34802.400000000001</v>
      </c>
      <c r="I220" s="18">
        <f>234.81+2442.19+909.83</f>
        <v>3586.83</v>
      </c>
      <c r="J220" s="18">
        <f>157.44+51.49</f>
        <v>208.93</v>
      </c>
      <c r="K220" s="18">
        <f>120+135</f>
        <v>255</v>
      </c>
      <c r="L220" s="19">
        <f t="shared" ref="L220:L226" si="2">SUM(F220:K220)</f>
        <v>780895.92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1500+10375+6450+100249.76</f>
        <v>118574.76</v>
      </c>
      <c r="G221" s="18">
        <f>332.98+2304.43+14648.57+58074.87</f>
        <v>75360.850000000006</v>
      </c>
      <c r="H221" s="18">
        <f>9341.35+19714.7+1387+189+18449.95+1121.45</f>
        <v>50203.45</v>
      </c>
      <c r="I221" s="18">
        <f>19268.48+5273.97+284.26</f>
        <v>24826.71</v>
      </c>
      <c r="J221" s="18">
        <f>6452.11</f>
        <v>6452.11</v>
      </c>
      <c r="K221" s="18">
        <f>2313+359</f>
        <v>2672</v>
      </c>
      <c r="L221" s="19">
        <f t="shared" si="2"/>
        <v>278089.88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4710.36+1045+950+82246.01</f>
        <v>88951.37</v>
      </c>
      <c r="G222" s="18">
        <f>12304+378.46+84.04+76.4+36874.33+7813.59</f>
        <v>57530.820000000007</v>
      </c>
      <c r="H222" s="18">
        <f>122.05+2115.65+12055+299281.16+380</f>
        <v>313953.86</v>
      </c>
      <c r="I222" s="18">
        <f>7161.89</f>
        <v>7161.89</v>
      </c>
      <c r="J222" s="18"/>
      <c r="K222" s="18">
        <f>6424.06+3155.75</f>
        <v>9579.8100000000013</v>
      </c>
      <c r="L222" s="19">
        <f t="shared" si="2"/>
        <v>477177.75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297692.33</v>
      </c>
      <c r="G223" s="18">
        <v>145333.99</v>
      </c>
      <c r="H223" s="18">
        <f>23912.55+522</f>
        <v>24434.55</v>
      </c>
      <c r="I223" s="18">
        <v>657.32</v>
      </c>
      <c r="J223" s="18"/>
      <c r="K223" s="18">
        <v>2068.9899999999998</v>
      </c>
      <c r="L223" s="19">
        <f t="shared" si="2"/>
        <v>470187.18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>
        <v>3798.48</v>
      </c>
      <c r="I224" s="18"/>
      <c r="J224" s="18"/>
      <c r="K224" s="18">
        <v>4285.62</v>
      </c>
      <c r="L224" s="19">
        <f t="shared" si="2"/>
        <v>8084.1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291031.01+1210</f>
        <v>292241.01</v>
      </c>
      <c r="G225" s="18">
        <f>138866.46+243.83</f>
        <v>139110.28999999998</v>
      </c>
      <c r="H225" s="18">
        <f>108632.88+351.5</f>
        <v>108984.38</v>
      </c>
      <c r="I225" s="18">
        <v>256978.88</v>
      </c>
      <c r="J225" s="18">
        <v>4936.6000000000004</v>
      </c>
      <c r="K225" s="18">
        <v>1054.73</v>
      </c>
      <c r="L225" s="19">
        <f t="shared" si="2"/>
        <v>803305.8899999999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2347.6</v>
      </c>
      <c r="G226" s="18">
        <v>356.34</v>
      </c>
      <c r="H226" s="18">
        <f>160679+146561+17468+7109.06</f>
        <v>331817.06</v>
      </c>
      <c r="I226" s="18"/>
      <c r="J226" s="18"/>
      <c r="K226" s="18"/>
      <c r="L226" s="19">
        <f t="shared" si="2"/>
        <v>334521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5415.6+78905.78</f>
        <v>84321.38</v>
      </c>
      <c r="G227" s="18">
        <f>2364.32+39327.57</f>
        <v>41691.89</v>
      </c>
      <c r="H227" s="18">
        <f>1626.37+4550.92+14045.31</f>
        <v>20222.599999999999</v>
      </c>
      <c r="I227" s="18">
        <f>41.96+16763.73</f>
        <v>16805.689999999999</v>
      </c>
      <c r="J227" s="18">
        <f>257.25+58752.37</f>
        <v>59009.62</v>
      </c>
      <c r="K227" s="18"/>
      <c r="L227" s="19">
        <f>SUM(F227:K227)</f>
        <v>222051.18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5345124.9399999995</v>
      </c>
      <c r="G229" s="41">
        <f>SUM(G215:G228)</f>
        <v>2520079.9300000002</v>
      </c>
      <c r="H229" s="41">
        <f>SUM(H215:H228)</f>
        <v>1867146.4700000002</v>
      </c>
      <c r="I229" s="41">
        <f>SUM(I215:I228)</f>
        <v>407991.29000000004</v>
      </c>
      <c r="J229" s="41">
        <f>SUM(J215:J228)</f>
        <v>88424.13</v>
      </c>
      <c r="K229" s="41">
        <f t="shared" si="3"/>
        <v>34619.910000000011</v>
      </c>
      <c r="L229" s="41">
        <f t="shared" si="3"/>
        <v>10263386.67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5382164.04</v>
      </c>
      <c r="G233" s="18">
        <v>2449033.9900000002</v>
      </c>
      <c r="H233" s="18">
        <v>27124.36</v>
      </c>
      <c r="I233" s="18">
        <v>172568.51</v>
      </c>
      <c r="J233" s="18">
        <v>86699.57</v>
      </c>
      <c r="K233" s="18">
        <v>25405.87</v>
      </c>
      <c r="L233" s="19">
        <f>SUM(F233:K233)</f>
        <v>8142996.3400000008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1830277.23</v>
      </c>
      <c r="G234" s="18">
        <v>871257.79</v>
      </c>
      <c r="H234" s="18">
        <v>1113825.6599999999</v>
      </c>
      <c r="I234" s="18">
        <v>14548.29</v>
      </c>
      <c r="J234" s="18">
        <v>8949.7900000000009</v>
      </c>
      <c r="K234" s="18"/>
      <c r="L234" s="19">
        <f>SUM(F234:K234)</f>
        <v>3838858.76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858944.33</v>
      </c>
      <c r="G235" s="18">
        <f>433603.93</f>
        <v>433603.93</v>
      </c>
      <c r="H235" s="18">
        <v>13921.04</v>
      </c>
      <c r="I235" s="18">
        <v>36785.67</v>
      </c>
      <c r="J235" s="18">
        <v>5244.11</v>
      </c>
      <c r="K235" s="18">
        <v>395</v>
      </c>
      <c r="L235" s="19">
        <f>SUM(F235:K235)</f>
        <v>1348894.08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72456.62+256069.68+6300</f>
        <v>334826.3</v>
      </c>
      <c r="G236" s="18">
        <f>14063.78+56433.82+1398.64</f>
        <v>71896.240000000005</v>
      </c>
      <c r="H236" s="18">
        <f>2831.38+102871.85+435.39</f>
        <v>106138.62000000001</v>
      </c>
      <c r="I236" s="18">
        <f>2509.96+10659.62+403.3</f>
        <v>13572.880000000001</v>
      </c>
      <c r="J236" s="18">
        <v>24748.98</v>
      </c>
      <c r="K236" s="18">
        <v>7560</v>
      </c>
      <c r="L236" s="19">
        <f>SUM(F236:K236)</f>
        <v>558743.0199999999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10768.66+474691.19+124415.05+71745.84+48900.02+22993.62+228079.82</f>
        <v>981594.2</v>
      </c>
      <c r="G238" s="18">
        <f>865.5+223098.49+65061.63+16333.06+19666.22+1848.6+89492.73</f>
        <v>416366.23</v>
      </c>
      <c r="H238" s="18">
        <f>3418.92+2116.99+29710.16+7701.38+798+149370.91</f>
        <v>193116.36</v>
      </c>
      <c r="I238" s="18">
        <f>1425.57+2672.05+896.49+203.27</f>
        <v>5197.38</v>
      </c>
      <c r="J238" s="18">
        <v>1928.79</v>
      </c>
      <c r="K238" s="18">
        <f>369+70</f>
        <v>439</v>
      </c>
      <c r="L238" s="19">
        <f t="shared" ref="L238:L244" si="4">SUM(F238:K238)</f>
        <v>1598641.96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2000+28175+17500+114890.36</f>
        <v>162565.35999999999</v>
      </c>
      <c r="G239" s="18">
        <f>443.99+6211.97+35192.75+77987.4</f>
        <v>119836.10999999999</v>
      </c>
      <c r="H239" s="18">
        <f>22124.25+42627.34+3285+960.68+43697.25</f>
        <v>112694.51999999999</v>
      </c>
      <c r="I239" s="18">
        <f>46891.86+627.96</f>
        <v>47519.82</v>
      </c>
      <c r="J239" s="18">
        <v>6175.55</v>
      </c>
      <c r="K239" s="18">
        <f>2113.2+260</f>
        <v>2373.1999999999998</v>
      </c>
      <c r="L239" s="19">
        <f t="shared" si="4"/>
        <v>451164.56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11123.21+2475+2250+139411.48</f>
        <v>155259.69</v>
      </c>
      <c r="G240" s="18">
        <f>35549.42+893.79+198.96+180.95+43955.22+18505.84</f>
        <v>99284.18</v>
      </c>
      <c r="H240" s="18">
        <f>289.06+7442.75+36260.4+708823.8+900</f>
        <v>753716.01</v>
      </c>
      <c r="I240" s="18">
        <f>20250.75</f>
        <v>20250.75</v>
      </c>
      <c r="J240" s="18"/>
      <c r="K240" s="18">
        <f>12384.23+7473.96</f>
        <v>19858.189999999999</v>
      </c>
      <c r="L240" s="19">
        <f t="shared" si="4"/>
        <v>1048368.82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806269.93</v>
      </c>
      <c r="G241" s="18">
        <v>325380.93</v>
      </c>
      <c r="H241" s="18">
        <f>103103.5+500</f>
        <v>103603.5</v>
      </c>
      <c r="I241" s="18">
        <f>17838.85+12996.06</f>
        <v>30834.909999999996</v>
      </c>
      <c r="J241" s="18">
        <v>47255.15</v>
      </c>
      <c r="K241" s="18">
        <v>22082.33</v>
      </c>
      <c r="L241" s="19">
        <f t="shared" si="4"/>
        <v>1335426.75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>
        <v>8996.4</v>
      </c>
      <c r="I242" s="18"/>
      <c r="J242" s="18"/>
      <c r="K242" s="18">
        <v>12900.18</v>
      </c>
      <c r="L242" s="19">
        <f t="shared" si="4"/>
        <v>21896.58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622293.37+74569.76+8660.5+2853.54</f>
        <v>708377.17</v>
      </c>
      <c r="G243" s="18">
        <f>289314.83+47990.87+819.9+570.12</f>
        <v>338695.72000000003</v>
      </c>
      <c r="H243" s="18">
        <f>318189.79+62308.4+75925+795.5+64306.64</f>
        <v>521525.33</v>
      </c>
      <c r="I243" s="18">
        <f>790477.12+29038.95</f>
        <v>819516.07</v>
      </c>
      <c r="J243" s="18">
        <f>14143.88+7201.7</f>
        <v>21345.579999999998</v>
      </c>
      <c r="K243" s="18">
        <v>2611.12</v>
      </c>
      <c r="L243" s="19">
        <f t="shared" si="4"/>
        <v>2412070.9900000002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379633+294762.74+1531.97+133340+13795.97</f>
        <v>823063.67999999993</v>
      </c>
      <c r="I244" s="18"/>
      <c r="J244" s="18"/>
      <c r="K244" s="18"/>
      <c r="L244" s="19">
        <f t="shared" si="4"/>
        <v>823063.67999999993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12826.37+96325.95</f>
        <v>109152.31999999999</v>
      </c>
      <c r="G245" s="18">
        <f>5599.7+35277.57</f>
        <v>40877.269999999997</v>
      </c>
      <c r="H245" s="18">
        <f>3851.91+10760.92+22732.67</f>
        <v>37345.5</v>
      </c>
      <c r="I245" s="18">
        <f>99.36+40234.17+21423.9</f>
        <v>61757.43</v>
      </c>
      <c r="J245" s="18">
        <f>609.28+160633.53</f>
        <v>161242.81</v>
      </c>
      <c r="K245" s="18"/>
      <c r="L245" s="19">
        <f>SUM(F245:K245)</f>
        <v>410375.32999999996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11329430.569999998</v>
      </c>
      <c r="G247" s="41">
        <f t="shared" si="5"/>
        <v>5166232.3899999997</v>
      </c>
      <c r="H247" s="41">
        <f t="shared" si="5"/>
        <v>3815070.9800000004</v>
      </c>
      <c r="I247" s="41">
        <f t="shared" si="5"/>
        <v>1222551.71</v>
      </c>
      <c r="J247" s="41">
        <f t="shared" si="5"/>
        <v>363590.32999999996</v>
      </c>
      <c r="K247" s="41">
        <f t="shared" si="5"/>
        <v>93624.889999999985</v>
      </c>
      <c r="L247" s="41">
        <f t="shared" si="5"/>
        <v>21990500.869999997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>
        <v>6357.56</v>
      </c>
      <c r="L255" s="19">
        <f t="shared" si="6"/>
        <v>6357.56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6357.56</v>
      </c>
      <c r="L256" s="41">
        <f>SUM(F256:K256)</f>
        <v>6357.56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29251627.209999993</v>
      </c>
      <c r="G257" s="41">
        <f t="shared" si="8"/>
        <v>13039508.399999999</v>
      </c>
      <c r="H257" s="41">
        <f t="shared" si="8"/>
        <v>8214028.2500000009</v>
      </c>
      <c r="I257" s="41">
        <f t="shared" si="8"/>
        <v>2423279.08</v>
      </c>
      <c r="J257" s="41">
        <f t="shared" si="8"/>
        <v>615001.27</v>
      </c>
      <c r="K257" s="41">
        <f t="shared" si="8"/>
        <v>195836.88</v>
      </c>
      <c r="L257" s="41">
        <f t="shared" si="8"/>
        <v>53739281.090000004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3026683.06</v>
      </c>
      <c r="L260" s="19">
        <f>SUM(F260:K260)</f>
        <v>3026683.06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651808.18999999994</v>
      </c>
      <c r="L261" s="19">
        <f>SUM(F261:K261)</f>
        <v>651808.18999999994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50000</v>
      </c>
      <c r="L264" s="19">
        <f t="shared" ref="L264:L270" si="9">SUM(F264:K264)</f>
        <v>50000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230000</v>
      </c>
      <c r="L265" s="19">
        <f t="shared" si="9"/>
        <v>230000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370000</v>
      </c>
      <c r="L266" s="19">
        <f t="shared" si="9"/>
        <v>370000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4328491.25</v>
      </c>
      <c r="L270" s="41">
        <f t="shared" si="9"/>
        <v>4328491.25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29251627.209999993</v>
      </c>
      <c r="G271" s="42">
        <f t="shared" si="11"/>
        <v>13039508.399999999</v>
      </c>
      <c r="H271" s="42">
        <f t="shared" si="11"/>
        <v>8214028.2500000009</v>
      </c>
      <c r="I271" s="42">
        <f t="shared" si="11"/>
        <v>2423279.08</v>
      </c>
      <c r="J271" s="42">
        <f t="shared" si="11"/>
        <v>615001.27</v>
      </c>
      <c r="K271" s="42">
        <f t="shared" si="11"/>
        <v>4524328.13</v>
      </c>
      <c r="L271" s="42">
        <f t="shared" si="11"/>
        <v>58067772.340000004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417945.36</v>
      </c>
      <c r="G276" s="18">
        <v>147623.07999999999</v>
      </c>
      <c r="H276" s="18">
        <f>1058.43+2016</f>
        <v>3074.4300000000003</v>
      </c>
      <c r="I276" s="18">
        <f>9140.13+3663.3</f>
        <v>12803.43</v>
      </c>
      <c r="J276" s="18">
        <f>55755.44</f>
        <v>55755.44</v>
      </c>
      <c r="K276" s="18"/>
      <c r="L276" s="19">
        <f>SUM(F276:K276)</f>
        <v>637201.74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60749.88</v>
      </c>
      <c r="G277" s="18">
        <v>13253.59</v>
      </c>
      <c r="H277" s="18">
        <v>807.5</v>
      </c>
      <c r="I277" s="18">
        <v>25605.98</v>
      </c>
      <c r="J277" s="18">
        <v>29337.72</v>
      </c>
      <c r="K277" s="18"/>
      <c r="L277" s="19">
        <f>SUM(F277:K277)</f>
        <v>129754.67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>
        <f>2325+2900</f>
        <v>5225</v>
      </c>
      <c r="I278" s="18"/>
      <c r="J278" s="18"/>
      <c r="K278" s="18"/>
      <c r="L278" s="19">
        <f>SUM(F278:K278)</f>
        <v>5225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12250</v>
      </c>
      <c r="G279" s="18">
        <v>2241.5500000000002</v>
      </c>
      <c r="H279" s="18"/>
      <c r="I279" s="18">
        <f>200+175.62</f>
        <v>375.62</v>
      </c>
      <c r="J279" s="18"/>
      <c r="K279" s="18">
        <v>552</v>
      </c>
      <c r="L279" s="19">
        <f>SUM(F279:K279)</f>
        <v>15419.17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16112.98+8242.82</f>
        <v>24355.8</v>
      </c>
      <c r="G281" s="18">
        <f>6594.49+1829.85</f>
        <v>8424.34</v>
      </c>
      <c r="H281" s="18">
        <f>2340.35</f>
        <v>2340.35</v>
      </c>
      <c r="I281" s="18">
        <f>12985.28</f>
        <v>12985.28</v>
      </c>
      <c r="J281" s="18"/>
      <c r="K281" s="18">
        <v>2805.14</v>
      </c>
      <c r="L281" s="19">
        <f t="shared" ref="L281:L287" si="12">SUM(F281:K281)</f>
        <v>50910.909999999996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15646.55+119462+16580.51</f>
        <v>151689.06</v>
      </c>
      <c r="G282" s="18">
        <f>3165.81+65784.14+3650.81</f>
        <v>72600.759999999995</v>
      </c>
      <c r="H282" s="18">
        <f>5450+23539.96+85065+29028.24</f>
        <v>143083.19999999998</v>
      </c>
      <c r="I282" s="18">
        <f>943.2+2354+8559</f>
        <v>11856.2</v>
      </c>
      <c r="J282" s="18"/>
      <c r="K282" s="18"/>
      <c r="L282" s="19">
        <f t="shared" si="12"/>
        <v>379229.22000000003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43993.34</v>
      </c>
      <c r="G283" s="18">
        <v>15728.11</v>
      </c>
      <c r="H283" s="18">
        <f>983.15+17181.8</f>
        <v>18164.95</v>
      </c>
      <c r="I283" s="18">
        <v>149.59</v>
      </c>
      <c r="J283" s="18"/>
      <c r="K283" s="18"/>
      <c r="L283" s="19">
        <f t="shared" si="12"/>
        <v>78035.989999999991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f>64431.11+10360.72</f>
        <v>74791.83</v>
      </c>
      <c r="L285" s="19">
        <f t="shared" si="12"/>
        <v>74791.83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f>1683.18</f>
        <v>1683.18</v>
      </c>
      <c r="G286" s="18">
        <f>135.33</f>
        <v>135.33000000000001</v>
      </c>
      <c r="H286" s="18">
        <f>17206.72+648</f>
        <v>17854.72</v>
      </c>
      <c r="I286" s="18"/>
      <c r="J286" s="18"/>
      <c r="K286" s="18"/>
      <c r="L286" s="19">
        <f t="shared" si="12"/>
        <v>19673.23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1249.0999999999999</v>
      </c>
      <c r="I287" s="18"/>
      <c r="J287" s="18"/>
      <c r="K287" s="18"/>
      <c r="L287" s="19">
        <f t="shared" si="12"/>
        <v>1249.0999999999999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f>10243.9</f>
        <v>10243.9</v>
      </c>
      <c r="G288" s="18">
        <f>824.41</f>
        <v>824.41</v>
      </c>
      <c r="H288" s="18"/>
      <c r="I288" s="18">
        <f>1531.98</f>
        <v>1531.98</v>
      </c>
      <c r="J288" s="18"/>
      <c r="K288" s="18"/>
      <c r="L288" s="19">
        <f>SUM(F288:K288)</f>
        <v>12600.289999999999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722910.52</v>
      </c>
      <c r="G290" s="42">
        <f t="shared" si="13"/>
        <v>260831.16999999993</v>
      </c>
      <c r="H290" s="42">
        <f t="shared" si="13"/>
        <v>191799.25</v>
      </c>
      <c r="I290" s="42">
        <f t="shared" si="13"/>
        <v>65308.080000000009</v>
      </c>
      <c r="J290" s="42">
        <f t="shared" si="13"/>
        <v>85093.16</v>
      </c>
      <c r="K290" s="42">
        <f t="shared" si="13"/>
        <v>78148.97</v>
      </c>
      <c r="L290" s="41">
        <f t="shared" si="13"/>
        <v>1404091.1500000004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>
        <v>1064</v>
      </c>
      <c r="I295" s="18">
        <f>1933.41</f>
        <v>1933.41</v>
      </c>
      <c r="J295" s="18">
        <f>29426.48</f>
        <v>29426.48</v>
      </c>
      <c r="K295" s="18"/>
      <c r="L295" s="19">
        <f>SUM(F295:K295)</f>
        <v>32423.89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>
        <v>569.80999999999995</v>
      </c>
      <c r="J296" s="18"/>
      <c r="K296" s="18"/>
      <c r="L296" s="19">
        <f>SUM(F296:K296)</f>
        <v>569.80999999999995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750</v>
      </c>
      <c r="G298" s="18">
        <v>166.5</v>
      </c>
      <c r="H298" s="18"/>
      <c r="I298" s="18">
        <v>379.52</v>
      </c>
      <c r="J298" s="18"/>
      <c r="K298" s="18">
        <v>308</v>
      </c>
      <c r="L298" s="19">
        <f>SUM(F298:K298)</f>
        <v>1604.02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8750.83</f>
        <v>8750.83</v>
      </c>
      <c r="G301" s="18">
        <f>1926.82</f>
        <v>1926.82</v>
      </c>
      <c r="H301" s="18">
        <f>15320.46</f>
        <v>15320.46</v>
      </c>
      <c r="I301" s="18">
        <f>4517.25</f>
        <v>4517.25</v>
      </c>
      <c r="J301" s="18"/>
      <c r="K301" s="18"/>
      <c r="L301" s="19">
        <f t="shared" si="14"/>
        <v>30515.360000000001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f>9068.17</f>
        <v>9068.17</v>
      </c>
      <c r="I302" s="18"/>
      <c r="J302" s="18"/>
      <c r="K302" s="18"/>
      <c r="L302" s="19">
        <f t="shared" si="14"/>
        <v>9068.17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>
        <f>5468.16</f>
        <v>5468.16</v>
      </c>
      <c r="L304" s="19">
        <f t="shared" si="14"/>
        <v>5468.16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f>888.34</f>
        <v>888.34</v>
      </c>
      <c r="G305" s="18">
        <f>71.42</f>
        <v>71.42</v>
      </c>
      <c r="H305" s="18">
        <f>9081.32+342</f>
        <v>9423.32</v>
      </c>
      <c r="I305" s="18"/>
      <c r="J305" s="18"/>
      <c r="K305" s="18"/>
      <c r="L305" s="19">
        <f t="shared" si="14"/>
        <v>10383.08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5406.5</v>
      </c>
      <c r="G307" s="18">
        <f>435.11</f>
        <v>435.11</v>
      </c>
      <c r="H307" s="18"/>
      <c r="I307" s="18">
        <f>768.02+808.55</f>
        <v>1576.57</v>
      </c>
      <c r="J307" s="18"/>
      <c r="K307" s="18">
        <v>125</v>
      </c>
      <c r="L307" s="19">
        <f>SUM(F307:K307)</f>
        <v>7543.1799999999994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15795.67</v>
      </c>
      <c r="G309" s="42">
        <f t="shared" si="15"/>
        <v>2599.85</v>
      </c>
      <c r="H309" s="42">
        <f t="shared" si="15"/>
        <v>34875.949999999997</v>
      </c>
      <c r="I309" s="42">
        <f t="shared" si="15"/>
        <v>8976.56</v>
      </c>
      <c r="J309" s="42">
        <f t="shared" si="15"/>
        <v>29426.48</v>
      </c>
      <c r="K309" s="42">
        <f t="shared" si="15"/>
        <v>5901.16</v>
      </c>
      <c r="L309" s="41">
        <f t="shared" si="15"/>
        <v>97575.67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171265+2520</f>
        <v>173785</v>
      </c>
      <c r="I314" s="18">
        <f>4579.12</f>
        <v>4579.12</v>
      </c>
      <c r="J314" s="18">
        <f>69694.3</f>
        <v>69694.3</v>
      </c>
      <c r="K314" s="18"/>
      <c r="L314" s="19">
        <f>SUM(F314:K314)</f>
        <v>248058.41999999998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63295.96</v>
      </c>
      <c r="G315" s="18">
        <v>32772.39</v>
      </c>
      <c r="H315" s="18"/>
      <c r="I315" s="18">
        <v>4349.55</v>
      </c>
      <c r="J315" s="18"/>
      <c r="K315" s="18"/>
      <c r="L315" s="19">
        <f>SUM(F315:K315)</f>
        <v>100417.90000000001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4545</v>
      </c>
      <c r="G316" s="18">
        <v>1008.99</v>
      </c>
      <c r="H316" s="18">
        <v>25021.5</v>
      </c>
      <c r="I316" s="18">
        <v>11344</v>
      </c>
      <c r="J316" s="18">
        <v>54112.31</v>
      </c>
      <c r="K316" s="18">
        <v>1870</v>
      </c>
      <c r="L316" s="19">
        <f>SUM(F316:K316)</f>
        <v>97901.799999999988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2700</v>
      </c>
      <c r="G317" s="18">
        <v>599.4</v>
      </c>
      <c r="H317" s="18"/>
      <c r="I317" s="18">
        <v>1163.6500000000001</v>
      </c>
      <c r="J317" s="18"/>
      <c r="K317" s="18"/>
      <c r="L317" s="19">
        <f>SUM(F317:K317)</f>
        <v>4463.05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30631.38+1800+31470.9+60064.88</f>
        <v>123967.16</v>
      </c>
      <c r="G319" s="18">
        <f>2462.46+165.97+14494.91+27242.41</f>
        <v>44365.75</v>
      </c>
      <c r="H319" s="18">
        <f>1478.04</f>
        <v>1478.04</v>
      </c>
      <c r="I319" s="18">
        <f>1350+798.03</f>
        <v>2148.0299999999997</v>
      </c>
      <c r="J319" s="18"/>
      <c r="K319" s="18"/>
      <c r="L319" s="19">
        <f t="shared" ref="L319:L325" si="16">SUM(F319:K319)</f>
        <v>171958.98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15300+537.5+783.72+20725.64</f>
        <v>37346.86</v>
      </c>
      <c r="G320" s="18">
        <f>3396.58+119.33+147.43+4563.52</f>
        <v>8226.86</v>
      </c>
      <c r="H320" s="18">
        <f>1565.62+14304.25+36285.3</f>
        <v>52155.17</v>
      </c>
      <c r="I320" s="18">
        <f>975+10698.75</f>
        <v>11673.75</v>
      </c>
      <c r="J320" s="18"/>
      <c r="K320" s="18">
        <v>4485.01</v>
      </c>
      <c r="L320" s="19">
        <f t="shared" si="16"/>
        <v>113887.65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>
        <f>21477.25</f>
        <v>21477.25</v>
      </c>
      <c r="I321" s="18"/>
      <c r="J321" s="18"/>
      <c r="K321" s="18"/>
      <c r="L321" s="19">
        <f t="shared" si="16"/>
        <v>21477.25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>
        <f>7090.62+12950.9</f>
        <v>20041.52</v>
      </c>
      <c r="L323" s="19">
        <f t="shared" si="16"/>
        <v>20041.52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f>2103.97</f>
        <v>2103.9699999999998</v>
      </c>
      <c r="G324" s="18">
        <f>169.16</f>
        <v>169.16</v>
      </c>
      <c r="H324" s="18">
        <f>21508.4+810</f>
        <v>22318.400000000001</v>
      </c>
      <c r="I324" s="18"/>
      <c r="J324" s="18"/>
      <c r="K324" s="18"/>
      <c r="L324" s="19">
        <f t="shared" si="16"/>
        <v>24591.530000000002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2050</v>
      </c>
      <c r="I325" s="18"/>
      <c r="J325" s="18"/>
      <c r="K325" s="18"/>
      <c r="L325" s="19">
        <f t="shared" si="16"/>
        <v>2050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f>12804.87</f>
        <v>12804.87</v>
      </c>
      <c r="G326" s="18">
        <f>1030.51</f>
        <v>1030.51</v>
      </c>
      <c r="H326" s="18"/>
      <c r="I326" s="18">
        <f>1914.98</f>
        <v>1914.98</v>
      </c>
      <c r="J326" s="18"/>
      <c r="K326" s="18"/>
      <c r="L326" s="19">
        <f>SUM(F326:K326)</f>
        <v>15750.36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246763.81999999998</v>
      </c>
      <c r="G328" s="42">
        <f t="shared" si="17"/>
        <v>88173.06</v>
      </c>
      <c r="H328" s="42">
        <f t="shared" si="17"/>
        <v>298285.36000000004</v>
      </c>
      <c r="I328" s="42">
        <f t="shared" si="17"/>
        <v>37173.08</v>
      </c>
      <c r="J328" s="42">
        <f t="shared" si="17"/>
        <v>123806.61</v>
      </c>
      <c r="K328" s="42">
        <f t="shared" si="17"/>
        <v>26396.53</v>
      </c>
      <c r="L328" s="41">
        <f t="shared" si="17"/>
        <v>820598.46000000008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5000</v>
      </c>
      <c r="I332" s="18"/>
      <c r="J332" s="18"/>
      <c r="K332" s="18"/>
      <c r="L332" s="19">
        <f t="shared" ref="L332:L337" si="18">SUM(F332:K332)</f>
        <v>5000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274727.13</v>
      </c>
      <c r="G333" s="18">
        <v>83119.25</v>
      </c>
      <c r="H333" s="18">
        <v>59938.9</v>
      </c>
      <c r="I333" s="18">
        <v>19921.03</v>
      </c>
      <c r="J333" s="18">
        <v>4658.5200000000004</v>
      </c>
      <c r="K333" s="18">
        <v>10781.12</v>
      </c>
      <c r="L333" s="19">
        <f t="shared" si="18"/>
        <v>453145.95000000007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274727.13</v>
      </c>
      <c r="G337" s="41">
        <f t="shared" si="19"/>
        <v>83119.25</v>
      </c>
      <c r="H337" s="41">
        <f t="shared" si="19"/>
        <v>64938.9</v>
      </c>
      <c r="I337" s="41">
        <f t="shared" si="19"/>
        <v>19921.03</v>
      </c>
      <c r="J337" s="41">
        <f t="shared" si="19"/>
        <v>4658.5200000000004</v>
      </c>
      <c r="K337" s="41">
        <f t="shared" si="19"/>
        <v>10781.12</v>
      </c>
      <c r="L337" s="41">
        <f t="shared" si="18"/>
        <v>458145.95000000007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1260197.1400000001</v>
      </c>
      <c r="G338" s="41">
        <f t="shared" si="20"/>
        <v>434723.3299999999</v>
      </c>
      <c r="H338" s="41">
        <f t="shared" si="20"/>
        <v>589899.46000000008</v>
      </c>
      <c r="I338" s="41">
        <f t="shared" si="20"/>
        <v>131378.75</v>
      </c>
      <c r="J338" s="41">
        <f t="shared" si="20"/>
        <v>242984.77</v>
      </c>
      <c r="K338" s="41">
        <f t="shared" si="20"/>
        <v>121227.78</v>
      </c>
      <c r="L338" s="41">
        <f t="shared" si="20"/>
        <v>2780411.2300000004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1260197.1400000001</v>
      </c>
      <c r="G352" s="41">
        <f>G338</f>
        <v>434723.3299999999</v>
      </c>
      <c r="H352" s="41">
        <f>H338</f>
        <v>589899.46000000008</v>
      </c>
      <c r="I352" s="41">
        <f>I338</f>
        <v>131378.75</v>
      </c>
      <c r="J352" s="41">
        <f>J338</f>
        <v>242984.77</v>
      </c>
      <c r="K352" s="47">
        <f>K338+K351</f>
        <v>121227.78</v>
      </c>
      <c r="L352" s="41">
        <f>L338+L351</f>
        <v>2780411.2300000004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227802.93</v>
      </c>
      <c r="G358" s="18">
        <v>71184.75</v>
      </c>
      <c r="H358" s="18">
        <v>4385.9399999999996</v>
      </c>
      <c r="I358" s="18">
        <v>55171.95</v>
      </c>
      <c r="J358" s="18"/>
      <c r="K358" s="18">
        <v>245.98</v>
      </c>
      <c r="L358" s="13">
        <f>SUM(F358:K358)</f>
        <v>358791.55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63370.47</v>
      </c>
      <c r="G359" s="18">
        <v>32080.12</v>
      </c>
      <c r="H359" s="18">
        <v>1076.3800000000001</v>
      </c>
      <c r="I359" s="18">
        <v>312127.14</v>
      </c>
      <c r="J359" s="18"/>
      <c r="K359" s="18">
        <v>150</v>
      </c>
      <c r="L359" s="19">
        <f>SUM(F359:K359)</f>
        <v>408804.11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244051.54</v>
      </c>
      <c r="G360" s="18">
        <v>97413.16</v>
      </c>
      <c r="H360" s="18">
        <v>15125.54</v>
      </c>
      <c r="I360" s="18">
        <v>409227.91</v>
      </c>
      <c r="J360" s="18"/>
      <c r="K360" s="18">
        <v>993.33</v>
      </c>
      <c r="L360" s="19">
        <f>SUM(F360:K360)</f>
        <v>766811.47999999986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535224.94000000006</v>
      </c>
      <c r="G362" s="47">
        <f t="shared" si="22"/>
        <v>200678.03</v>
      </c>
      <c r="H362" s="47">
        <f t="shared" si="22"/>
        <v>20587.86</v>
      </c>
      <c r="I362" s="47">
        <f t="shared" si="22"/>
        <v>776527</v>
      </c>
      <c r="J362" s="47">
        <f t="shared" si="22"/>
        <v>0</v>
      </c>
      <c r="K362" s="47">
        <f t="shared" si="22"/>
        <v>1389.31</v>
      </c>
      <c r="L362" s="47">
        <f t="shared" si="22"/>
        <v>1534407.1399999997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53341.21</v>
      </c>
      <c r="G367" s="18">
        <f>297520.53+3041.25</f>
        <v>300561.78000000003</v>
      </c>
      <c r="H367" s="18">
        <f>380213.77+4305.75</f>
        <v>384519.52</v>
      </c>
      <c r="I367" s="56">
        <f>SUM(F367:H367)</f>
        <v>738422.51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1830.74</v>
      </c>
      <c r="G368" s="63">
        <v>11565.36</v>
      </c>
      <c r="H368" s="63">
        <v>24708.39</v>
      </c>
      <c r="I368" s="56">
        <f>SUM(F368:H368)</f>
        <v>38104.49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55171.95</v>
      </c>
      <c r="G369" s="47">
        <f>SUM(G367:G368)</f>
        <v>312127.14</v>
      </c>
      <c r="H369" s="47">
        <f>SUM(H367:H368)</f>
        <v>409227.91000000003</v>
      </c>
      <c r="I369" s="47">
        <f>SUM(I367:I368)</f>
        <v>776527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241984</v>
      </c>
      <c r="I376" s="18"/>
      <c r="J376" s="18"/>
      <c r="K376" s="18"/>
      <c r="L376" s="13">
        <f t="shared" si="23"/>
        <v>241984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v>52385.03</v>
      </c>
      <c r="I378" s="18"/>
      <c r="J378" s="18">
        <v>7162.48</v>
      </c>
      <c r="K378" s="18">
        <v>71644.69</v>
      </c>
      <c r="L378" s="13">
        <f t="shared" si="23"/>
        <v>131192.20000000001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67830+91352.5</f>
        <v>159182.5</v>
      </c>
      <c r="I379" s="18"/>
      <c r="J379" s="18"/>
      <c r="K379" s="18"/>
      <c r="L379" s="13">
        <f t="shared" si="23"/>
        <v>159182.5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383626.68</v>
      </c>
      <c r="L381" s="13">
        <f t="shared" si="23"/>
        <v>383626.68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453551.53</v>
      </c>
      <c r="I382" s="41">
        <f t="shared" si="24"/>
        <v>0</v>
      </c>
      <c r="J382" s="47">
        <f t="shared" si="24"/>
        <v>7162.48</v>
      </c>
      <c r="K382" s="47">
        <f t="shared" si="24"/>
        <v>455271.37</v>
      </c>
      <c r="L382" s="47">
        <f t="shared" si="24"/>
        <v>915985.37999999989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350000</v>
      </c>
      <c r="H396" s="18"/>
      <c r="I396" s="18"/>
      <c r="J396" s="24" t="s">
        <v>289</v>
      </c>
      <c r="K396" s="24" t="s">
        <v>289</v>
      </c>
      <c r="L396" s="56">
        <f t="shared" si="26"/>
        <v>350000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20000</v>
      </c>
      <c r="H400" s="18"/>
      <c r="I400" s="18"/>
      <c r="J400" s="24" t="s">
        <v>289</v>
      </c>
      <c r="K400" s="24" t="s">
        <v>289</v>
      </c>
      <c r="L400" s="56">
        <f t="shared" si="26"/>
        <v>20000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370000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370000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370000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370000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>
        <v>162769</v>
      </c>
      <c r="L422" s="56">
        <f t="shared" si="29"/>
        <v>162769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1650</v>
      </c>
      <c r="L426" s="56">
        <f t="shared" si="29"/>
        <v>1650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164419</v>
      </c>
      <c r="L427" s="47">
        <f t="shared" si="30"/>
        <v>164419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164419</v>
      </c>
      <c r="L434" s="47">
        <f t="shared" si="32"/>
        <v>164419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331526+18350</f>
        <v>349876</v>
      </c>
      <c r="H439" s="18"/>
      <c r="I439" s="56">
        <f t="shared" ref="I439:I445" si="33">SUM(F439:H439)</f>
        <v>349876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349876</v>
      </c>
      <c r="H446" s="13">
        <f>SUM(H439:H445)</f>
        <v>0</v>
      </c>
      <c r="I446" s="13">
        <f>SUM(I439:I445)</f>
        <v>349876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331526+18350</f>
        <v>349876</v>
      </c>
      <c r="H459" s="18"/>
      <c r="I459" s="56">
        <f t="shared" si="34"/>
        <v>349876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349876</v>
      </c>
      <c r="H460" s="83">
        <f>SUM(H454:H459)</f>
        <v>0</v>
      </c>
      <c r="I460" s="83">
        <f>SUM(I454:I459)</f>
        <v>349876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349876</v>
      </c>
      <c r="H461" s="42">
        <f>H452+H460</f>
        <v>0</v>
      </c>
      <c r="I461" s="42">
        <f>I452+I460</f>
        <v>349876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2742108.68</v>
      </c>
      <c r="G465" s="18">
        <v>189447.38</v>
      </c>
      <c r="H465" s="18">
        <v>410588.13</v>
      </c>
      <c r="I465" s="18">
        <v>920599.76</v>
      </c>
      <c r="J465" s="18">
        <v>144295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57685469.219999999</v>
      </c>
      <c r="G468" s="18">
        <v>1535887.08</v>
      </c>
      <c r="H468" s="18">
        <f>2150180.45+282587.01+485200.76</f>
        <v>2917968.2199999997</v>
      </c>
      <c r="I468" s="18">
        <v>392896.74</v>
      </c>
      <c r="J468" s="18">
        <v>370000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>
        <v>345.87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57685469.219999999</v>
      </c>
      <c r="G470" s="53">
        <f>SUM(G468:G469)</f>
        <v>1535887.08</v>
      </c>
      <c r="H470" s="53">
        <f>SUM(H468:H469)</f>
        <v>2918314.09</v>
      </c>
      <c r="I470" s="53">
        <f>SUM(I468:I469)</f>
        <v>392896.74</v>
      </c>
      <c r="J470" s="53">
        <f>SUM(J468:J469)</f>
        <v>370000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58067772.340000004</v>
      </c>
      <c r="G472" s="18">
        <v>1534407.14</v>
      </c>
      <c r="H472" s="18">
        <f>2150180.45+129876.07+500354.71</f>
        <v>2780411.23</v>
      </c>
      <c r="I472" s="18">
        <v>915985.38</v>
      </c>
      <c r="J472" s="18">
        <f>162769+1650</f>
        <v>164419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58067772.340000004</v>
      </c>
      <c r="G474" s="53">
        <f>SUM(G472:G473)</f>
        <v>1534407.14</v>
      </c>
      <c r="H474" s="53">
        <f>SUM(H472:H473)</f>
        <v>2780411.23</v>
      </c>
      <c r="I474" s="53">
        <f>SUM(I472:I473)</f>
        <v>915985.38</v>
      </c>
      <c r="J474" s="53">
        <f>SUM(J472:J473)</f>
        <v>164419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2359805.5599999949</v>
      </c>
      <c r="G476" s="53">
        <f>(G465+G470)- G474</f>
        <v>190927.32000000007</v>
      </c>
      <c r="H476" s="53">
        <f>(H465+H470)- H474</f>
        <v>548490.98999999976</v>
      </c>
      <c r="I476" s="53">
        <f>(I465+I470)- I474</f>
        <v>397511.12</v>
      </c>
      <c r="J476" s="53">
        <f>(J465+J470)- J474</f>
        <v>349876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>
        <v>29</v>
      </c>
      <c r="I490" s="154">
        <v>29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912</v>
      </c>
      <c r="H491" s="155" t="s">
        <v>913</v>
      </c>
      <c r="I491" s="155" t="s">
        <v>913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914</v>
      </c>
      <c r="G492" s="155" t="s">
        <v>915</v>
      </c>
      <c r="H492" s="155" t="s">
        <v>916</v>
      </c>
      <c r="I492" s="155" t="s">
        <v>916</v>
      </c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17500000</v>
      </c>
      <c r="G493" s="18">
        <v>1225000</v>
      </c>
      <c r="H493" s="18">
        <v>35115529.659999996</v>
      </c>
      <c r="I493" s="18">
        <v>1817970.34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5.2</v>
      </c>
      <c r="G494" s="18">
        <v>3.79</v>
      </c>
      <c r="H494" s="18">
        <v>4.4400000000000004</v>
      </c>
      <c r="I494" s="18">
        <v>4.4400000000000004</v>
      </c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6125000</v>
      </c>
      <c r="G495" s="18">
        <v>480000</v>
      </c>
      <c r="H495" s="18">
        <v>30062080.18</v>
      </c>
      <c r="I495" s="18">
        <v>1556347.59</v>
      </c>
      <c r="J495" s="18"/>
      <c r="K495" s="53">
        <f>SUM(F495:J495)</f>
        <v>38223427.770000003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875000</v>
      </c>
      <c r="G497" s="18">
        <v>120000</v>
      </c>
      <c r="H497" s="18">
        <f>1265903.74+665774.18</f>
        <v>1931677.92</v>
      </c>
      <c r="I497" s="18">
        <f>65537.26+34467.88</f>
        <v>100005.13999999998</v>
      </c>
      <c r="J497" s="18"/>
      <c r="K497" s="53">
        <f t="shared" si="35"/>
        <v>3026683.06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5250000</v>
      </c>
      <c r="G498" s="204">
        <v>360000</v>
      </c>
      <c r="H498" s="204">
        <v>28130402.25</v>
      </c>
      <c r="I498" s="204">
        <v>1456342.45</v>
      </c>
      <c r="J498" s="204"/>
      <c r="K498" s="205">
        <f t="shared" si="35"/>
        <v>35196744.700000003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826875</v>
      </c>
      <c r="G499" s="18">
        <v>20520</v>
      </c>
      <c r="H499" s="18">
        <v>30381240.66</v>
      </c>
      <c r="I499" s="18">
        <v>1572870.89</v>
      </c>
      <c r="J499" s="18"/>
      <c r="K499" s="53">
        <f t="shared" si="35"/>
        <v>32801506.550000001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6076875</v>
      </c>
      <c r="G500" s="42">
        <f>SUM(G498:G499)</f>
        <v>380520</v>
      </c>
      <c r="H500" s="42">
        <f>SUM(H498:H499)</f>
        <v>58511642.909999996</v>
      </c>
      <c r="I500" s="42">
        <f>SUM(I498:I499)</f>
        <v>3029213.34</v>
      </c>
      <c r="J500" s="42">
        <f>SUM(J498:J499)</f>
        <v>0</v>
      </c>
      <c r="K500" s="42">
        <f t="shared" si="35"/>
        <v>67998251.25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875000</v>
      </c>
      <c r="G501" s="204">
        <v>120000</v>
      </c>
      <c r="H501" s="204">
        <f>1218627.85+623829.26</f>
        <v>1842457.11</v>
      </c>
      <c r="I501" s="204">
        <f>63089.73+32296.34</f>
        <v>95386.07</v>
      </c>
      <c r="J501" s="204"/>
      <c r="K501" s="205">
        <f t="shared" si="35"/>
        <v>2932843.18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206718.75</v>
      </c>
      <c r="G502" s="18">
        <f>6840+4560</f>
        <v>11400</v>
      </c>
      <c r="H502" s="18">
        <f>259087.9+150786.75</f>
        <v>409874.65</v>
      </c>
      <c r="I502" s="18">
        <f>13413.27+7806.4</f>
        <v>21219.67</v>
      </c>
      <c r="J502" s="18"/>
      <c r="K502" s="53">
        <f t="shared" si="35"/>
        <v>649213.07000000007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1081718.75</v>
      </c>
      <c r="G503" s="42">
        <f>SUM(G501:G502)</f>
        <v>131400</v>
      </c>
      <c r="H503" s="42">
        <f>SUM(H501:H502)</f>
        <v>2252331.7600000002</v>
      </c>
      <c r="I503" s="42">
        <f>SUM(I501:I502)</f>
        <v>116605.74</v>
      </c>
      <c r="J503" s="42">
        <f>SUM(J501:J502)</f>
        <v>0</v>
      </c>
      <c r="K503" s="42">
        <f t="shared" si="35"/>
        <v>3582056.2500000005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3230150.7</v>
      </c>
      <c r="G521" s="18">
        <v>1201746.71</v>
      </c>
      <c r="H521" s="18">
        <f>505940.04+5000</f>
        <v>510940.04</v>
      </c>
      <c r="I521" s="18">
        <v>45772.94</v>
      </c>
      <c r="J521" s="18">
        <v>32791.94</v>
      </c>
      <c r="K521" s="18"/>
      <c r="L521" s="88">
        <f>SUM(F521:K521)</f>
        <v>5021402.330000001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1081003.31</v>
      </c>
      <c r="G522" s="18">
        <v>533988.53</v>
      </c>
      <c r="H522" s="18">
        <v>962937.69</v>
      </c>
      <c r="I522" s="18">
        <v>4927.0600000000004</v>
      </c>
      <c r="J522" s="18">
        <v>1654.39</v>
      </c>
      <c r="K522" s="18"/>
      <c r="L522" s="88">
        <f>SUM(F522:K522)</f>
        <v>2584510.9800000004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1893573.19</v>
      </c>
      <c r="G523" s="18">
        <v>904030.18</v>
      </c>
      <c r="H523" s="18">
        <v>1113825.6599999999</v>
      </c>
      <c r="I523" s="18">
        <v>18897.84</v>
      </c>
      <c r="J523" s="18">
        <v>8949.7900000000009</v>
      </c>
      <c r="K523" s="18"/>
      <c r="L523" s="88">
        <f>SUM(F523:K523)</f>
        <v>3939276.66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6204727.1999999993</v>
      </c>
      <c r="G524" s="108">
        <f t="shared" ref="G524:L524" si="36">SUM(G521:G523)</f>
        <v>2639765.42</v>
      </c>
      <c r="H524" s="108">
        <f t="shared" si="36"/>
        <v>2587703.3899999997</v>
      </c>
      <c r="I524" s="108">
        <f t="shared" si="36"/>
        <v>69597.84</v>
      </c>
      <c r="J524" s="108">
        <f t="shared" si="36"/>
        <v>43396.12</v>
      </c>
      <c r="K524" s="108">
        <f t="shared" si="36"/>
        <v>0</v>
      </c>
      <c r="L524" s="89">
        <f t="shared" si="36"/>
        <v>11545189.970000003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7506.4+286389.24+671413.47+199431.04+12446.44+119462</f>
        <v>1296648.5899999999</v>
      </c>
      <c r="G526" s="18">
        <f>1666.41+114378.91+287381.41+103469.81+6505.04+65784.14</f>
        <v>579185.72</v>
      </c>
      <c r="H526" s="18">
        <f>6030.75+28820+253.68+51494+45970.5+5472.39+58497.76+89845.45</f>
        <v>286384.53000000003</v>
      </c>
      <c r="I526" s="18">
        <f>4491.48+2957.72+3223.48+7984.24+2354</f>
        <v>21010.92</v>
      </c>
      <c r="J526" s="18"/>
      <c r="K526" s="18">
        <v>150</v>
      </c>
      <c r="L526" s="88">
        <f>SUM(F526:K526)</f>
        <v>2183379.7599999998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134303+27353.56+22879.16+62337.98</f>
        <v>246873.7</v>
      </c>
      <c r="G527" s="18">
        <f>62108.88+12067+12549.8+27828.02</f>
        <v>114553.70000000001</v>
      </c>
      <c r="H527" s="18">
        <f>21910+6900+2100+2265.41+18449.95+1121.45</f>
        <v>52746.81</v>
      </c>
      <c r="I527" s="18">
        <f>909.83+284.26</f>
        <v>1194.0900000000001</v>
      </c>
      <c r="J527" s="18"/>
      <c r="K527" s="18">
        <v>399</v>
      </c>
      <c r="L527" s="88">
        <f>SUM(F527:K527)</f>
        <v>415767.30000000005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30631.38+103216.74+48900.02+22993.62+189123.78</f>
        <v>394865.54</v>
      </c>
      <c r="G528" s="18">
        <f>2462.46+30827.97+19666.22+1848.6+75178.65</f>
        <v>129983.9</v>
      </c>
      <c r="H528" s="18">
        <f>1478.04+29710.16+7701.38+798+149370.91+2501+43697.25</f>
        <v>235256.74</v>
      </c>
      <c r="I528" s="18">
        <f>896.49+203.27+798.03+627.96</f>
        <v>2525.75</v>
      </c>
      <c r="J528" s="18"/>
      <c r="K528" s="18"/>
      <c r="L528" s="88">
        <f>SUM(F528:K528)</f>
        <v>762631.92999999993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1938387.8299999998</v>
      </c>
      <c r="G529" s="89">
        <f t="shared" ref="G529:L529" si="37">SUM(G526:G528)</f>
        <v>823723.32</v>
      </c>
      <c r="H529" s="89">
        <f t="shared" si="37"/>
        <v>574388.08000000007</v>
      </c>
      <c r="I529" s="89">
        <f t="shared" si="37"/>
        <v>24730.76</v>
      </c>
      <c r="J529" s="89">
        <f t="shared" si="37"/>
        <v>0</v>
      </c>
      <c r="K529" s="89">
        <f t="shared" si="37"/>
        <v>549</v>
      </c>
      <c r="L529" s="89">
        <f t="shared" si="37"/>
        <v>3361778.9899999993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151874.26</v>
      </c>
      <c r="G531" s="18">
        <v>68683.75</v>
      </c>
      <c r="H531" s="18">
        <v>3240.61</v>
      </c>
      <c r="I531" s="18">
        <v>2421.0700000000002</v>
      </c>
      <c r="J531" s="18">
        <v>744</v>
      </c>
      <c r="K531" s="18">
        <f>150+33198.83</f>
        <v>33348.83</v>
      </c>
      <c r="L531" s="88">
        <f>SUM(F531:K531)</f>
        <v>260312.52000000002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57346.45</v>
      </c>
      <c r="G532" s="18">
        <v>31367.68</v>
      </c>
      <c r="H532" s="18"/>
      <c r="I532" s="18"/>
      <c r="J532" s="18"/>
      <c r="K532" s="18"/>
      <c r="L532" s="88">
        <f>SUM(F532:K532)</f>
        <v>88714.13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102746.18</v>
      </c>
      <c r="G533" s="18">
        <v>35815.24</v>
      </c>
      <c r="H533" s="18"/>
      <c r="I533" s="18"/>
      <c r="J533" s="18"/>
      <c r="K533" s="18"/>
      <c r="L533" s="88">
        <f>SUM(F533:K533)</f>
        <v>138561.41999999998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311966.89</v>
      </c>
      <c r="G534" s="89">
        <f t="shared" ref="G534:L534" si="38">SUM(G531:G533)</f>
        <v>135866.66999999998</v>
      </c>
      <c r="H534" s="89">
        <f t="shared" si="38"/>
        <v>3240.61</v>
      </c>
      <c r="I534" s="89">
        <f t="shared" si="38"/>
        <v>2421.0700000000002</v>
      </c>
      <c r="J534" s="89">
        <f t="shared" si="38"/>
        <v>744</v>
      </c>
      <c r="K534" s="89">
        <f t="shared" si="38"/>
        <v>33348.83</v>
      </c>
      <c r="L534" s="89">
        <f t="shared" si="38"/>
        <v>487588.07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6990.95</v>
      </c>
      <c r="I536" s="18"/>
      <c r="J536" s="18"/>
      <c r="K536" s="18"/>
      <c r="L536" s="88">
        <f>SUM(F536:K536)</f>
        <v>6990.95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6990.95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6990.95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398799.4</v>
      </c>
      <c r="I541" s="18"/>
      <c r="J541" s="18"/>
      <c r="K541" s="18"/>
      <c r="L541" s="88">
        <f>SUM(F541:K541)</f>
        <v>398799.4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146561</v>
      </c>
      <c r="I542" s="18"/>
      <c r="J542" s="18"/>
      <c r="K542" s="18"/>
      <c r="L542" s="88">
        <f>SUM(F542:K542)</f>
        <v>146561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294762.74+758.3</f>
        <v>295521.03999999998</v>
      </c>
      <c r="I543" s="18"/>
      <c r="J543" s="18"/>
      <c r="K543" s="18"/>
      <c r="L543" s="88">
        <f>SUM(F543:K543)</f>
        <v>295521.03999999998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840881.44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840881.44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8455081.9199999999</v>
      </c>
      <c r="G545" s="89">
        <f t="shared" ref="G545:L545" si="41">G524+G529+G534+G539+G544</f>
        <v>3599355.4099999997</v>
      </c>
      <c r="H545" s="89">
        <f t="shared" si="41"/>
        <v>4013204.4699999997</v>
      </c>
      <c r="I545" s="89">
        <f t="shared" si="41"/>
        <v>96749.67</v>
      </c>
      <c r="J545" s="89">
        <f t="shared" si="41"/>
        <v>44140.12</v>
      </c>
      <c r="K545" s="89">
        <f t="shared" si="41"/>
        <v>33897.83</v>
      </c>
      <c r="L545" s="89">
        <f t="shared" si="41"/>
        <v>16242429.42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5021402.330000001</v>
      </c>
      <c r="G549" s="87">
        <f>L526</f>
        <v>2183379.7599999998</v>
      </c>
      <c r="H549" s="87">
        <f>L531</f>
        <v>260312.52000000002</v>
      </c>
      <c r="I549" s="87">
        <f>L536</f>
        <v>6990.95</v>
      </c>
      <c r="J549" s="87">
        <f>L541</f>
        <v>398799.4</v>
      </c>
      <c r="K549" s="87">
        <f>SUM(F549:J549)</f>
        <v>7870884.9600000018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2584510.9800000004</v>
      </c>
      <c r="G550" s="87">
        <f>L527</f>
        <v>415767.30000000005</v>
      </c>
      <c r="H550" s="87">
        <f>L532</f>
        <v>88714.13</v>
      </c>
      <c r="I550" s="87">
        <f>L537</f>
        <v>0</v>
      </c>
      <c r="J550" s="87">
        <f>L542</f>
        <v>146561</v>
      </c>
      <c r="K550" s="87">
        <f>SUM(F550:J550)</f>
        <v>3235553.41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3939276.66</v>
      </c>
      <c r="G551" s="87">
        <f>L528</f>
        <v>762631.92999999993</v>
      </c>
      <c r="H551" s="87">
        <f>L533</f>
        <v>138561.41999999998</v>
      </c>
      <c r="I551" s="87">
        <f>L538</f>
        <v>0</v>
      </c>
      <c r="J551" s="87">
        <f>L543</f>
        <v>295521.03999999998</v>
      </c>
      <c r="K551" s="87">
        <f>SUM(F551:J551)</f>
        <v>5135991.05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11545189.970000003</v>
      </c>
      <c r="G552" s="89">
        <f t="shared" si="42"/>
        <v>3361778.9899999993</v>
      </c>
      <c r="H552" s="89">
        <f t="shared" si="42"/>
        <v>487588.07</v>
      </c>
      <c r="I552" s="89">
        <f t="shared" si="42"/>
        <v>6990.95</v>
      </c>
      <c r="J552" s="89">
        <f t="shared" si="42"/>
        <v>840881.44</v>
      </c>
      <c r="K552" s="89">
        <f t="shared" si="42"/>
        <v>16242429.420000002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108263.08</v>
      </c>
      <c r="G562" s="18">
        <v>44829.07</v>
      </c>
      <c r="H562" s="18">
        <v>731.45</v>
      </c>
      <c r="I562" s="18">
        <v>1238.55</v>
      </c>
      <c r="J562" s="18">
        <v>33.729999999999997</v>
      </c>
      <c r="K562" s="18"/>
      <c r="L562" s="88">
        <f>SUM(F562:K562)</f>
        <v>155095.88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108263.08</v>
      </c>
      <c r="G565" s="89">
        <f t="shared" si="44"/>
        <v>44829.07</v>
      </c>
      <c r="H565" s="89">
        <f t="shared" si="44"/>
        <v>731.45</v>
      </c>
      <c r="I565" s="89">
        <f t="shared" si="44"/>
        <v>1238.55</v>
      </c>
      <c r="J565" s="89">
        <f t="shared" si="44"/>
        <v>33.729999999999997</v>
      </c>
      <c r="K565" s="89">
        <f t="shared" si="44"/>
        <v>0</v>
      </c>
      <c r="L565" s="89">
        <f t="shared" si="44"/>
        <v>155095.88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108263.08</v>
      </c>
      <c r="G571" s="89">
        <f t="shared" ref="G571:L571" si="46">G560+G565+G570</f>
        <v>44829.07</v>
      </c>
      <c r="H571" s="89">
        <f t="shared" si="46"/>
        <v>731.45</v>
      </c>
      <c r="I571" s="89">
        <f t="shared" si="46"/>
        <v>1238.55</v>
      </c>
      <c r="J571" s="89">
        <f t="shared" si="46"/>
        <v>33.729999999999997</v>
      </c>
      <c r="K571" s="89">
        <f t="shared" si="46"/>
        <v>0</v>
      </c>
      <c r="L571" s="89">
        <f t="shared" si="46"/>
        <v>155095.88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105487.89</v>
      </c>
      <c r="G575" s="18">
        <v>55454.8</v>
      </c>
      <c r="H575" s="18">
        <v>31246.37</v>
      </c>
      <c r="I575" s="87">
        <f>SUM(F575:H575)</f>
        <v>192189.06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210476.27</v>
      </c>
      <c r="G576" s="18">
        <v>80844.509999999995</v>
      </c>
      <c r="H576" s="18">
        <v>306189.61</v>
      </c>
      <c r="I576" s="87">
        <f t="shared" ref="I576:I587" si="47">SUM(F576:H576)</f>
        <v>597510.3899999999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144890.24299999999</v>
      </c>
      <c r="G582" s="18">
        <v>824422.97</v>
      </c>
      <c r="H582" s="18">
        <v>708034.96</v>
      </c>
      <c r="I582" s="87">
        <f t="shared" si="47"/>
        <v>1677348.173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321916</v>
      </c>
      <c r="I591" s="18">
        <v>160679</v>
      </c>
      <c r="J591" s="18">
        <v>379633</v>
      </c>
      <c r="K591" s="104">
        <f t="shared" ref="K591:K597" si="48">SUM(H591:J591)</f>
        <v>862228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398799.4</v>
      </c>
      <c r="I592" s="18">
        <v>146561</v>
      </c>
      <c r="J592" s="18">
        <f>294762.74+663.3+95</f>
        <v>295521.03999999998</v>
      </c>
      <c r="K592" s="104">
        <f t="shared" si="48"/>
        <v>840881.44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1531.97</v>
      </c>
      <c r="K593" s="104">
        <f t="shared" si="48"/>
        <v>1531.97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17468</v>
      </c>
      <c r="J594" s="18">
        <v>133340</v>
      </c>
      <c r="K594" s="104">
        <f t="shared" si="48"/>
        <v>150808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19955.18</v>
      </c>
      <c r="I595" s="18">
        <v>7109.06</v>
      </c>
      <c r="J595" s="18">
        <f>13795.97-663.3-95</f>
        <v>13037.67</v>
      </c>
      <c r="K595" s="104">
        <f t="shared" si="48"/>
        <v>40101.910000000003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v>2703.94</v>
      </c>
      <c r="J597" s="18"/>
      <c r="K597" s="104">
        <f t="shared" si="48"/>
        <v>2703.94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740670.58000000007</v>
      </c>
      <c r="I598" s="108">
        <f>SUM(I591:I597)</f>
        <v>334521</v>
      </c>
      <c r="J598" s="108">
        <f>SUM(J591:J597)</f>
        <v>823063.68</v>
      </c>
      <c r="K598" s="108">
        <f>SUM(K591:K597)</f>
        <v>1898255.2599999998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14809.68+192324.53</f>
        <v>207134.21</v>
      </c>
      <c r="I604" s="18">
        <f>7816.22+674.32+88424.13</f>
        <v>96914.670000000013</v>
      </c>
      <c r="J604" s="18">
        <f>80927.91+4463.75+194.77+18512.1+32136+417702.63</f>
        <v>553937.16</v>
      </c>
      <c r="K604" s="104">
        <f>SUM(H604:J604)</f>
        <v>857986.04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207134.21</v>
      </c>
      <c r="I605" s="108">
        <f>SUM(I602:I604)</f>
        <v>96914.670000000013</v>
      </c>
      <c r="J605" s="108">
        <f>SUM(J602:J604)</f>
        <v>553937.16</v>
      </c>
      <c r="K605" s="108">
        <f>SUM(K602:K604)</f>
        <v>857986.04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47315+2550</f>
        <v>49865</v>
      </c>
      <c r="G611" s="18">
        <f>3813.51+6021.42+194.52</f>
        <v>10029.450000000001</v>
      </c>
      <c r="H611" s="18">
        <f>2900</f>
        <v>2900</v>
      </c>
      <c r="I611" s="18">
        <v>529.04</v>
      </c>
      <c r="J611" s="18"/>
      <c r="K611" s="18"/>
      <c r="L611" s="88">
        <f>SUM(F611:K611)</f>
        <v>63323.49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6187.5</v>
      </c>
      <c r="G612" s="18">
        <f>473.35+876.15+24.15</f>
        <v>1373.65</v>
      </c>
      <c r="H612" s="18"/>
      <c r="I612" s="18"/>
      <c r="J612" s="18"/>
      <c r="K612" s="18"/>
      <c r="L612" s="88">
        <f>SUM(F612:K612)</f>
        <v>7561.15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9000</v>
      </c>
      <c r="G613" s="18">
        <f>688.51+1274.4+35.13</f>
        <v>1998.0400000000002</v>
      </c>
      <c r="H613" s="18">
        <v>435.39</v>
      </c>
      <c r="I613" s="18">
        <v>1566.95</v>
      </c>
      <c r="J613" s="18"/>
      <c r="K613" s="18"/>
      <c r="L613" s="88">
        <f>SUM(F613:K613)</f>
        <v>13000.380000000001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65052.5</v>
      </c>
      <c r="G614" s="108">
        <f t="shared" si="49"/>
        <v>13401.140000000001</v>
      </c>
      <c r="H614" s="108">
        <f t="shared" si="49"/>
        <v>3335.39</v>
      </c>
      <c r="I614" s="108">
        <f t="shared" si="49"/>
        <v>2095.9899999999998</v>
      </c>
      <c r="J614" s="108">
        <f t="shared" si="49"/>
        <v>0</v>
      </c>
      <c r="K614" s="108">
        <f t="shared" si="49"/>
        <v>0</v>
      </c>
      <c r="L614" s="89">
        <f t="shared" si="49"/>
        <v>83885.02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2872210.59</v>
      </c>
      <c r="H617" s="109">
        <f>SUM(F52)</f>
        <v>2872210.59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221508.6</v>
      </c>
      <c r="H618" s="109">
        <f>SUM(G52)</f>
        <v>221508.6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1326450.96</v>
      </c>
      <c r="H619" s="109">
        <f>SUM(H52)</f>
        <v>1326450.96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434055.12</v>
      </c>
      <c r="H620" s="109">
        <f>SUM(I52)</f>
        <v>434055.12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349876</v>
      </c>
      <c r="H621" s="109">
        <f>SUM(J52)</f>
        <v>349876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2359805.56</v>
      </c>
      <c r="H622" s="109">
        <f>F476</f>
        <v>2359805.5599999949</v>
      </c>
      <c r="I622" s="121" t="s">
        <v>101</v>
      </c>
      <c r="J622" s="109">
        <f t="shared" ref="J622:J655" si="50">G622-H622</f>
        <v>5.1222741603851318E-9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190927.32</v>
      </c>
      <c r="H623" s="109">
        <f>G476</f>
        <v>190927.32000000007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548490.99</v>
      </c>
      <c r="H624" s="109">
        <f>H476</f>
        <v>548490.98999999976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397511.12</v>
      </c>
      <c r="H625" s="109">
        <f>I476</f>
        <v>397511.12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349876</v>
      </c>
      <c r="H626" s="109">
        <f>J476</f>
        <v>349876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57685469.220000006</v>
      </c>
      <c r="H627" s="104">
        <f>SUM(F468)</f>
        <v>57685469.219999999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1535887.0799999998</v>
      </c>
      <c r="H628" s="104">
        <f>SUM(G468)</f>
        <v>1535887.08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2917968.22</v>
      </c>
      <c r="H629" s="104">
        <f>SUM(H468)</f>
        <v>2917968.2199999997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392896.74</v>
      </c>
      <c r="H630" s="104">
        <f>SUM(I468)</f>
        <v>392896.74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370000</v>
      </c>
      <c r="H631" s="104">
        <f>SUM(J468)</f>
        <v>370000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58067772.340000004</v>
      </c>
      <c r="H632" s="104">
        <f>SUM(F472)</f>
        <v>58067772.340000004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2780411.2300000004</v>
      </c>
      <c r="H633" s="104">
        <f>SUM(H472)</f>
        <v>2780411.23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776527</v>
      </c>
      <c r="H634" s="104">
        <f>I369</f>
        <v>776527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1534407.1399999997</v>
      </c>
      <c r="H635" s="104">
        <f>SUM(G472)</f>
        <v>1534407.14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915985.37999999989</v>
      </c>
      <c r="H636" s="104">
        <f>SUM(I472)</f>
        <v>915985.38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370000</v>
      </c>
      <c r="H637" s="164">
        <f>SUM(J468)</f>
        <v>370000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164419</v>
      </c>
      <c r="H638" s="164">
        <f>SUM(J472)</f>
        <v>164419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349876</v>
      </c>
      <c r="H640" s="104">
        <f>SUM(G461)</f>
        <v>349876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349876</v>
      </c>
      <c r="H642" s="104">
        <f>SUM(I461)</f>
        <v>349876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370000</v>
      </c>
      <c r="H645" s="104">
        <f>G408</f>
        <v>370000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370000</v>
      </c>
      <c r="H646" s="104">
        <f>L408</f>
        <v>370000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1898255.2599999998</v>
      </c>
      <c r="H647" s="104">
        <f>L208+L226+L244</f>
        <v>1898255.26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857986.04</v>
      </c>
      <c r="H648" s="104">
        <f>(J257+J338)-(J255+J336)</f>
        <v>857986.04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740670.58000000007</v>
      </c>
      <c r="H649" s="104">
        <f>H598</f>
        <v>740670.58000000007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334521</v>
      </c>
      <c r="H650" s="104">
        <f>I598</f>
        <v>334521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823063.67999999993</v>
      </c>
      <c r="H651" s="104">
        <f>J598</f>
        <v>823063.68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50000</v>
      </c>
      <c r="H653" s="104">
        <f>K264</f>
        <v>50000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230000</v>
      </c>
      <c r="H654" s="104">
        <f>K265+K346</f>
        <v>230000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370000</v>
      </c>
      <c r="H655" s="104">
        <f>K266+K347</f>
        <v>370000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23241918.690000009</v>
      </c>
      <c r="G660" s="19">
        <f>(L229+L309+L359)</f>
        <v>10769766.449999999</v>
      </c>
      <c r="H660" s="19">
        <f>(L247+L328+L360)</f>
        <v>23577910.809999999</v>
      </c>
      <c r="I660" s="19">
        <f>SUM(F660:H660)</f>
        <v>57589595.950000003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200220.64208876304</v>
      </c>
      <c r="G661" s="19">
        <f>(L359/IF(SUM(L358:L360)=0,1,SUM(L358:L360))*(SUM(G97:G110)))</f>
        <v>228129.73547656101</v>
      </c>
      <c r="H661" s="19">
        <f>(L360/IF(SUM(L358:L360)=0,1,SUM(L358:L360))*(SUM(G97:G110)))</f>
        <v>427912.77243467595</v>
      </c>
      <c r="I661" s="19">
        <f>SUM(F661:H661)</f>
        <v>856263.15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741919.68</v>
      </c>
      <c r="G662" s="19">
        <f>(L226+L306)-(J226+J306)</f>
        <v>334521</v>
      </c>
      <c r="H662" s="19">
        <f>(L244+L325)-(J244+J325)</f>
        <v>825113.67999999993</v>
      </c>
      <c r="I662" s="19">
        <f>SUM(F662:H662)</f>
        <v>1901554.36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731312.10299999989</v>
      </c>
      <c r="G663" s="199">
        <f>SUM(G575:G587)+SUM(I602:I604)+L612</f>
        <v>1065198.0999999999</v>
      </c>
      <c r="H663" s="199">
        <f>SUM(H575:H587)+SUM(J602:J604)+L613</f>
        <v>1612408.48</v>
      </c>
      <c r="I663" s="19">
        <f>SUM(F663:H663)</f>
        <v>3408918.6829999997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21568466.264911246</v>
      </c>
      <c r="G664" s="19">
        <f>G660-SUM(G661:G663)</f>
        <v>9141917.6145234387</v>
      </c>
      <c r="H664" s="19">
        <f>H660-SUM(H661:H663)</f>
        <v>20712475.877565324</v>
      </c>
      <c r="I664" s="19">
        <f>I660-SUM(I661:I663)</f>
        <v>51422859.756999999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1258.93</v>
      </c>
      <c r="G665" s="248">
        <v>699.75</v>
      </c>
      <c r="H665" s="248">
        <v>1400.89</v>
      </c>
      <c r="I665" s="19">
        <f>SUM(F665:H665)</f>
        <v>3359.57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17132.38</v>
      </c>
      <c r="G667" s="19">
        <f>ROUND(G664/G665,2)</f>
        <v>13064.55</v>
      </c>
      <c r="H667" s="19">
        <f>ROUND(H664/H665,2)</f>
        <v>14785.23</v>
      </c>
      <c r="I667" s="19">
        <f>ROUND(I664/I665,2)</f>
        <v>15306.38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18.309999999999999</v>
      </c>
      <c r="I670" s="19">
        <f>SUM(F670:H670)</f>
        <v>18.309999999999999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17132.38</v>
      </c>
      <c r="G672" s="19">
        <f>ROUND((G664+G669)/(G665+G670),2)</f>
        <v>13064.55</v>
      </c>
      <c r="H672" s="19">
        <f>ROUND((H664+H669)/(H665+H670),2)</f>
        <v>14594.47</v>
      </c>
      <c r="I672" s="19">
        <f>ROUND((I664+I669)/(I665+I670),2)</f>
        <v>15223.41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8"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KEENE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14130911.739999998</v>
      </c>
      <c r="C9" s="229">
        <f>'DOE25'!G197+'DOE25'!G215+'DOE25'!G233+'DOE25'!G276+'DOE25'!G295+'DOE25'!G314</f>
        <v>6280706.1900000004</v>
      </c>
    </row>
    <row r="10" spans="1:3" x14ac:dyDescent="0.2">
      <c r="A10" t="s">
        <v>779</v>
      </c>
      <c r="B10" s="240">
        <v>12301978.119999999</v>
      </c>
      <c r="C10" s="240">
        <v>5918012.6900000004</v>
      </c>
    </row>
    <row r="11" spans="1:3" x14ac:dyDescent="0.2">
      <c r="A11" t="s">
        <v>780</v>
      </c>
      <c r="B11" s="240">
        <v>550649.93999999994</v>
      </c>
      <c r="C11" s="240">
        <v>264906.32</v>
      </c>
    </row>
    <row r="12" spans="1:3" x14ac:dyDescent="0.2">
      <c r="A12" t="s">
        <v>781</v>
      </c>
      <c r="B12" s="240">
        <v>1278283.68</v>
      </c>
      <c r="C12" s="240">
        <v>97787.18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14130911.739999998</v>
      </c>
      <c r="C13" s="231">
        <f>SUM(C10:C12)</f>
        <v>6280706.1900000004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6312990.2799999993</v>
      </c>
      <c r="C18" s="229">
        <f>'DOE25'!G198+'DOE25'!G216+'DOE25'!G234+'DOE25'!G277+'DOE25'!G296+'DOE25'!G315</f>
        <v>2684594.49</v>
      </c>
    </row>
    <row r="19" spans="1:3" x14ac:dyDescent="0.2">
      <c r="A19" t="s">
        <v>779</v>
      </c>
      <c r="B19" s="240">
        <v>3079438.12</v>
      </c>
      <c r="C19" s="240">
        <v>1837548.73</v>
      </c>
    </row>
    <row r="20" spans="1:3" x14ac:dyDescent="0.2">
      <c r="A20" t="s">
        <v>780</v>
      </c>
      <c r="B20" s="240">
        <v>1152750.96</v>
      </c>
      <c r="C20" s="240">
        <v>687864.47</v>
      </c>
    </row>
    <row r="21" spans="1:3" x14ac:dyDescent="0.2">
      <c r="A21" t="s">
        <v>781</v>
      </c>
      <c r="B21" s="240">
        <v>2080801.2</v>
      </c>
      <c r="C21" s="240">
        <v>159181.29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6312990.2800000003</v>
      </c>
      <c r="C22" s="231">
        <f>SUM(C19:C21)</f>
        <v>2684594.49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863489.33</v>
      </c>
      <c r="C27" s="234">
        <f>'DOE25'!G199+'DOE25'!G217+'DOE25'!G235+'DOE25'!G278+'DOE25'!G297+'DOE25'!G316</f>
        <v>434612.92</v>
      </c>
    </row>
    <row r="28" spans="1:3" x14ac:dyDescent="0.2">
      <c r="A28" t="s">
        <v>779</v>
      </c>
      <c r="B28" s="240">
        <v>813916.64</v>
      </c>
      <c r="C28" s="240">
        <v>409661.91</v>
      </c>
    </row>
    <row r="29" spans="1:3" x14ac:dyDescent="0.2">
      <c r="A29" t="s">
        <v>780</v>
      </c>
      <c r="B29" s="240">
        <v>49572.69</v>
      </c>
      <c r="C29" s="240">
        <v>24951.01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863489.33000000007</v>
      </c>
      <c r="C31" s="231">
        <f>SUM(C28:C30)</f>
        <v>434612.92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473570.35</v>
      </c>
      <c r="C36" s="235">
        <f>'DOE25'!G200+'DOE25'!G218+'DOE25'!G236+'DOE25'!G279+'DOE25'!G298+'DOE25'!G317</f>
        <v>98663.14</v>
      </c>
    </row>
    <row r="37" spans="1:3" x14ac:dyDescent="0.2">
      <c r="A37" t="s">
        <v>779</v>
      </c>
      <c r="B37" s="240">
        <v>350747.17</v>
      </c>
      <c r="C37" s="240">
        <v>73074.289999999994</v>
      </c>
    </row>
    <row r="38" spans="1:3" x14ac:dyDescent="0.2">
      <c r="A38" t="s">
        <v>780</v>
      </c>
      <c r="B38" s="240">
        <v>2550</v>
      </c>
      <c r="C38" s="240">
        <v>531.26</v>
      </c>
    </row>
    <row r="39" spans="1:3" x14ac:dyDescent="0.2">
      <c r="A39" t="s">
        <v>781</v>
      </c>
      <c r="B39" s="240">
        <v>120273.18</v>
      </c>
      <c r="C39" s="240">
        <v>25057.59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473570.35</v>
      </c>
      <c r="C40" s="231">
        <f>SUM(C37:C39)</f>
        <v>98663.139999999985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KEENE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34083905.32</v>
      </c>
      <c r="D5" s="20">
        <f>SUM('DOE25'!L197:L200)+SUM('DOE25'!L215:L218)+SUM('DOE25'!L233:L236)-F5-G5</f>
        <v>33841960.629999995</v>
      </c>
      <c r="E5" s="243"/>
      <c r="F5" s="255">
        <f>SUM('DOE25'!J197:J200)+SUM('DOE25'!J215:J218)+SUM('DOE25'!J233:J236)</f>
        <v>168277.24000000002</v>
      </c>
      <c r="G5" s="53">
        <f>SUM('DOE25'!K197:K200)+SUM('DOE25'!K215:K218)+SUM('DOE25'!K233:K236)</f>
        <v>73667.45</v>
      </c>
      <c r="H5" s="259"/>
    </row>
    <row r="6" spans="1:9" x14ac:dyDescent="0.2">
      <c r="A6" s="32">
        <v>2100</v>
      </c>
      <c r="B6" t="s">
        <v>801</v>
      </c>
      <c r="C6" s="245">
        <f t="shared" si="0"/>
        <v>5051012.4399999995</v>
      </c>
      <c r="D6" s="20">
        <f>'DOE25'!L202+'DOE25'!L220+'DOE25'!L238-F6-G6</f>
        <v>5048180.72</v>
      </c>
      <c r="E6" s="243"/>
      <c r="F6" s="255">
        <f>'DOE25'!J202+'DOE25'!J220+'DOE25'!J238</f>
        <v>2137.7199999999998</v>
      </c>
      <c r="G6" s="53">
        <f>'DOE25'!K202+'DOE25'!K220+'DOE25'!K238</f>
        <v>694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1367459.9800000002</v>
      </c>
      <c r="D7" s="20">
        <f>'DOE25'!L203+'DOE25'!L221+'DOE25'!L239-F7-G7</f>
        <v>1347175.7100000002</v>
      </c>
      <c r="E7" s="243"/>
      <c r="F7" s="255">
        <f>'DOE25'!J203+'DOE25'!J221+'DOE25'!J239</f>
        <v>15089.07</v>
      </c>
      <c r="G7" s="53">
        <f>'DOE25'!K203+'DOE25'!K221+'DOE25'!K239</f>
        <v>5195.2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1710088.68</v>
      </c>
      <c r="D8" s="243"/>
      <c r="E8" s="20">
        <f>'DOE25'!L204+'DOE25'!L222+'DOE25'!L240-F8-G8-D9-D11</f>
        <v>1657323.8599999999</v>
      </c>
      <c r="F8" s="255">
        <f>'DOE25'!J204+'DOE25'!J222+'DOE25'!J240</f>
        <v>744</v>
      </c>
      <c r="G8" s="53">
        <f>'DOE25'!K204+'DOE25'!K222+'DOE25'!K240</f>
        <v>52020.82</v>
      </c>
      <c r="H8" s="259"/>
    </row>
    <row r="9" spans="1:9" x14ac:dyDescent="0.2">
      <c r="A9" s="32">
        <v>2310</v>
      </c>
      <c r="B9" t="s">
        <v>818</v>
      </c>
      <c r="C9" s="245">
        <f t="shared" si="0"/>
        <v>327990.77</v>
      </c>
      <c r="D9" s="244">
        <v>327990.77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14935</v>
      </c>
      <c r="D10" s="243"/>
      <c r="E10" s="244">
        <v>14935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448065</v>
      </c>
      <c r="D11" s="244">
        <v>448065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3005980.41</v>
      </c>
      <c r="D12" s="20">
        <f>'DOE25'!L205+'DOE25'!L223+'DOE25'!L241-F12-G12</f>
        <v>2931448.5400000005</v>
      </c>
      <c r="E12" s="243"/>
      <c r="F12" s="255">
        <f>'DOE25'!J205+'DOE25'!J223+'DOE25'!J241</f>
        <v>47897.55</v>
      </c>
      <c r="G12" s="53">
        <f>'DOE25'!K205+'DOE25'!K223+'DOE25'!K241</f>
        <v>26634.32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45925.57</v>
      </c>
      <c r="D13" s="243"/>
      <c r="E13" s="20">
        <f>'DOE25'!L206+'DOE25'!L224+'DOE25'!L242-F13-G13</f>
        <v>19992</v>
      </c>
      <c r="F13" s="255">
        <f>'DOE25'!J206+'DOE25'!J224+'DOE25'!J242</f>
        <v>0</v>
      </c>
      <c r="G13" s="53">
        <f>'DOE25'!K206+'DOE25'!K224+'DOE25'!K242</f>
        <v>25933.57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4830727.04</v>
      </c>
      <c r="D14" s="20">
        <f>'DOE25'!L207+'DOE25'!L225+'DOE25'!L243-F14-G14</f>
        <v>4788507.74</v>
      </c>
      <c r="E14" s="243"/>
      <c r="F14" s="255">
        <f>'DOE25'!J207+'DOE25'!J225+'DOE25'!J243</f>
        <v>36885.339999999997</v>
      </c>
      <c r="G14" s="53">
        <f>'DOE25'!K207+'DOE25'!K225+'DOE25'!K243</f>
        <v>5333.96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1898255.26</v>
      </c>
      <c r="D15" s="20">
        <f>'DOE25'!L208+'DOE25'!L226+'DOE25'!L244-F15-G15</f>
        <v>1898255.26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963513.05999999994</v>
      </c>
      <c r="D16" s="243"/>
      <c r="E16" s="20">
        <f>'DOE25'!L209+'DOE25'!L227+'DOE25'!L245-F16-G16</f>
        <v>619542.71</v>
      </c>
      <c r="F16" s="255">
        <f>'DOE25'!J209+'DOE25'!J227+'DOE25'!J245</f>
        <v>343970.35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6357.56</v>
      </c>
      <c r="D22" s="243"/>
      <c r="E22" s="243"/>
      <c r="F22" s="255">
        <f>'DOE25'!L255+'DOE25'!L336</f>
        <v>6357.56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3678491.25</v>
      </c>
      <c r="D25" s="243"/>
      <c r="E25" s="243"/>
      <c r="F25" s="258"/>
      <c r="G25" s="256"/>
      <c r="H25" s="257">
        <f>'DOE25'!L260+'DOE25'!L261+'DOE25'!L341+'DOE25'!L342</f>
        <v>3678491.25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795984.62999999966</v>
      </c>
      <c r="D29" s="20">
        <f>'DOE25'!L358+'DOE25'!L359+'DOE25'!L360-'DOE25'!I367-F29-G29</f>
        <v>794595.3199999996</v>
      </c>
      <c r="E29" s="243"/>
      <c r="F29" s="255">
        <f>'DOE25'!J358+'DOE25'!J359+'DOE25'!J360</f>
        <v>0</v>
      </c>
      <c r="G29" s="53">
        <f>'DOE25'!K358+'DOE25'!K359+'DOE25'!K360</f>
        <v>1389.31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2775411.2300000004</v>
      </c>
      <c r="D31" s="20">
        <f>'DOE25'!L290+'DOE25'!L309+'DOE25'!L328+'DOE25'!L333+'DOE25'!L334+'DOE25'!L335-F31-G31</f>
        <v>2411198.6800000006</v>
      </c>
      <c r="E31" s="243"/>
      <c r="F31" s="255">
        <f>'DOE25'!J290+'DOE25'!J309+'DOE25'!J328+'DOE25'!J333+'DOE25'!J334+'DOE25'!J335</f>
        <v>242984.77</v>
      </c>
      <c r="G31" s="53">
        <f>'DOE25'!K290+'DOE25'!K309+'DOE25'!K328+'DOE25'!K333+'DOE25'!K334+'DOE25'!K335</f>
        <v>121227.78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53837378.369999997</v>
      </c>
      <c r="E33" s="246">
        <f>SUM(E5:E31)</f>
        <v>2311793.5699999998</v>
      </c>
      <c r="F33" s="246">
        <f>SUM(F5:F31)</f>
        <v>864343.60000000009</v>
      </c>
      <c r="G33" s="246">
        <f>SUM(G5:G31)</f>
        <v>312096.41000000003</v>
      </c>
      <c r="H33" s="246">
        <f>SUM(H5:H31)</f>
        <v>3678491.25</v>
      </c>
    </row>
    <row r="35" spans="2:8" ht="12" thickBot="1" x14ac:dyDescent="0.25">
      <c r="B35" s="253" t="s">
        <v>847</v>
      </c>
      <c r="D35" s="254">
        <f>E33</f>
        <v>2311793.5699999998</v>
      </c>
      <c r="E35" s="249"/>
    </row>
    <row r="36" spans="2:8" ht="12" thickTop="1" x14ac:dyDescent="0.2">
      <c r="B36" t="s">
        <v>815</v>
      </c>
      <c r="D36" s="20">
        <f>D33</f>
        <v>53837378.369999997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35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KEENE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1758572.5299999998</v>
      </c>
      <c r="D8" s="95">
        <f>'DOE25'!G9</f>
        <v>158886.88</v>
      </c>
      <c r="E8" s="95">
        <f>'DOE25'!H9</f>
        <v>526186.34</v>
      </c>
      <c r="F8" s="95">
        <f>'DOE25'!I9</f>
        <v>434055.12</v>
      </c>
      <c r="G8" s="95">
        <f>'DOE25'!J9</f>
        <v>349876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701959.07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379546.02</v>
      </c>
      <c r="D12" s="95">
        <f>'DOE25'!G13</f>
        <v>56723.9</v>
      </c>
      <c r="E12" s="95">
        <f>'DOE25'!H13</f>
        <v>712263.41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32052.97</v>
      </c>
      <c r="D13" s="95">
        <f>'DOE25'!G14</f>
        <v>5897.82</v>
      </c>
      <c r="E13" s="95">
        <f>'DOE25'!H14</f>
        <v>83240.89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80</v>
      </c>
      <c r="D16" s="95">
        <f>'DOE25'!G17</f>
        <v>0</v>
      </c>
      <c r="E16" s="95">
        <f>'DOE25'!H17</f>
        <v>4760.32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2872210.59</v>
      </c>
      <c r="D18" s="41">
        <f>SUM(D8:D17)</f>
        <v>221508.6</v>
      </c>
      <c r="E18" s="41">
        <f>SUM(E8:E17)</f>
        <v>1326450.96</v>
      </c>
      <c r="F18" s="41">
        <f>SUM(F8:F17)</f>
        <v>434055.12</v>
      </c>
      <c r="G18" s="41">
        <f>SUM(G8:G17)</f>
        <v>349876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701959.07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24772.91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341466.98</v>
      </c>
      <c r="D23" s="95">
        <f>'DOE25'!G24</f>
        <v>0</v>
      </c>
      <c r="E23" s="95">
        <f>'DOE25'!H24</f>
        <v>10606.529999999999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36544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142296.14000000001</v>
      </c>
      <c r="D27" s="95">
        <f>'DOE25'!G28</f>
        <v>3109.08</v>
      </c>
      <c r="E27" s="95">
        <f>'DOE25'!H28</f>
        <v>7059.369999999999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3869</v>
      </c>
      <c r="D29" s="95">
        <f>'DOE25'!G30</f>
        <v>27472.2</v>
      </c>
      <c r="E29" s="95">
        <f>'DOE25'!H30</f>
        <v>58335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512405.02999999997</v>
      </c>
      <c r="D31" s="41">
        <f>SUM(D21:D30)</f>
        <v>30581.279999999999</v>
      </c>
      <c r="E31" s="41">
        <f>SUM(E21:E30)</f>
        <v>777959.97</v>
      </c>
      <c r="F31" s="41">
        <f>SUM(F21:F30)</f>
        <v>36544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80</v>
      </c>
      <c r="D35" s="95">
        <f>'DOE25'!G36</f>
        <v>0</v>
      </c>
      <c r="E35" s="95">
        <f>'DOE25'!H36</f>
        <v>1400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190927.32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397511.12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547090.99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349876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137583.82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2122141.7400000002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2359805.56</v>
      </c>
      <c r="D50" s="41">
        <f>SUM(D34:D49)</f>
        <v>190927.32</v>
      </c>
      <c r="E50" s="41">
        <f>SUM(E34:E49)</f>
        <v>548490.99</v>
      </c>
      <c r="F50" s="41">
        <f>SUM(F34:F49)</f>
        <v>397511.12</v>
      </c>
      <c r="G50" s="41">
        <f>SUM(G34:G49)</f>
        <v>349876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2872210.59</v>
      </c>
      <c r="D51" s="41">
        <f>D50+D31</f>
        <v>221508.6</v>
      </c>
      <c r="E51" s="41">
        <f>E50+E31</f>
        <v>1326450.96</v>
      </c>
      <c r="F51" s="41">
        <f>F50+F31</f>
        <v>434055.12</v>
      </c>
      <c r="G51" s="41">
        <f>G50+G31</f>
        <v>349876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26959534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11416124.73</v>
      </c>
      <c r="D57" s="24" t="s">
        <v>289</v>
      </c>
      <c r="E57" s="95">
        <f>'DOE25'!H79</f>
        <v>398608.25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1940.48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834938.14999999991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1288460.26</v>
      </c>
      <c r="D61" s="95">
        <f>SUM('DOE25'!G98:G110)</f>
        <v>21325</v>
      </c>
      <c r="E61" s="95">
        <f>SUM('DOE25'!H98:H110)</f>
        <v>319179.52000000002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12706525.470000001</v>
      </c>
      <c r="D62" s="130">
        <f>SUM(D57:D61)</f>
        <v>856263.14999999991</v>
      </c>
      <c r="E62" s="130">
        <f>SUM(E57:E61)</f>
        <v>717787.77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39666059.469999999</v>
      </c>
      <c r="D63" s="22">
        <f>D56+D62</f>
        <v>856263.14999999991</v>
      </c>
      <c r="E63" s="22">
        <f>E56+E62</f>
        <v>717787.77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10293792.279999999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4380460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14674252.279999999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1822979.26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405128.21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194452.01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13608.21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2422559.4800000004</v>
      </c>
      <c r="D78" s="130">
        <f>SUM(D72:D77)</f>
        <v>13608.21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17096811.759999998</v>
      </c>
      <c r="D81" s="130">
        <f>SUM(D79:D80)+D78+D70</f>
        <v>13608.21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538971.31000000006</v>
      </c>
      <c r="D88" s="95">
        <f>SUM('DOE25'!G153:G161)</f>
        <v>666015.72</v>
      </c>
      <c r="E88" s="95">
        <f>SUM('DOE25'!H153:H161)</f>
        <v>2150180.4500000002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538971.31000000006</v>
      </c>
      <c r="D91" s="131">
        <f>SUM(D85:D90)</f>
        <v>666015.72</v>
      </c>
      <c r="E91" s="131">
        <f>SUM(E85:E90)</f>
        <v>2150180.4500000002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127.74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50000</v>
      </c>
      <c r="F96" s="95">
        <f>'DOE25'!I179</f>
        <v>230000</v>
      </c>
      <c r="G96" s="95">
        <f>'DOE25'!J179</f>
        <v>370000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383626.68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162769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383626.68</v>
      </c>
      <c r="D103" s="86">
        <f>SUM(D93:D102)</f>
        <v>0</v>
      </c>
      <c r="E103" s="86">
        <f>SUM(E93:E102)</f>
        <v>50000</v>
      </c>
      <c r="F103" s="86">
        <f>SUM(F93:F102)</f>
        <v>392896.74</v>
      </c>
      <c r="G103" s="86">
        <f>SUM(G93:G102)</f>
        <v>370000</v>
      </c>
    </row>
    <row r="104" spans="1:7" ht="12.75" thickTop="1" thickBot="1" x14ac:dyDescent="0.25">
      <c r="A104" s="33" t="s">
        <v>765</v>
      </c>
      <c r="C104" s="86">
        <f>C63+C81+C91+C103</f>
        <v>57685469.219999999</v>
      </c>
      <c r="D104" s="86">
        <f>D63+D81+D91+D103</f>
        <v>1535887.0799999998</v>
      </c>
      <c r="E104" s="86">
        <f>E63+E81+E91+E103</f>
        <v>2917968.22</v>
      </c>
      <c r="F104" s="86">
        <f>F63+F81+F91+F103</f>
        <v>392896.74</v>
      </c>
      <c r="G104" s="86">
        <f>G63+G81+G103</f>
        <v>370000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20537447.23</v>
      </c>
      <c r="D109" s="24" t="s">
        <v>289</v>
      </c>
      <c r="E109" s="95">
        <f>('DOE25'!L276)+('DOE25'!L295)+('DOE25'!L314)</f>
        <v>917684.05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11464543.470000001</v>
      </c>
      <c r="D110" s="24" t="s">
        <v>289</v>
      </c>
      <c r="E110" s="95">
        <f>('DOE25'!L277)+('DOE25'!L296)+('DOE25'!L315)</f>
        <v>230742.38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1348894.08</v>
      </c>
      <c r="D111" s="24" t="s">
        <v>289</v>
      </c>
      <c r="E111" s="95">
        <f>('DOE25'!L278)+('DOE25'!L297)+('DOE25'!L316)</f>
        <v>103126.79999999999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733020.53999999992</v>
      </c>
      <c r="D112" s="24" t="s">
        <v>289</v>
      </c>
      <c r="E112" s="95">
        <f>+('DOE25'!L279)+('DOE25'!L298)+('DOE25'!L317)</f>
        <v>21486.239999999998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5000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453145.95000000007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34083905.32</v>
      </c>
      <c r="D115" s="86">
        <f>SUM(D109:D114)</f>
        <v>0</v>
      </c>
      <c r="E115" s="86">
        <f>SUM(E109:E114)</f>
        <v>1731185.4200000004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5051012.4399999995</v>
      </c>
      <c r="D118" s="24" t="s">
        <v>289</v>
      </c>
      <c r="E118" s="95">
        <f>+('DOE25'!L281)+('DOE25'!L300)+('DOE25'!L319)</f>
        <v>222869.89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1367459.9800000002</v>
      </c>
      <c r="D119" s="24" t="s">
        <v>289</v>
      </c>
      <c r="E119" s="95">
        <f>+('DOE25'!L282)+('DOE25'!L301)+('DOE25'!L320)</f>
        <v>523632.23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2486144.4499999997</v>
      </c>
      <c r="D120" s="24" t="s">
        <v>289</v>
      </c>
      <c r="E120" s="95">
        <f>+('DOE25'!L283)+('DOE25'!L302)+('DOE25'!L321)</f>
        <v>108581.40999999999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3005980.41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45925.57</v>
      </c>
      <c r="D122" s="24" t="s">
        <v>289</v>
      </c>
      <c r="E122" s="95">
        <f>+('DOE25'!L285)+('DOE25'!L304)+('DOE25'!L323)</f>
        <v>100301.51000000001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4830727.04</v>
      </c>
      <c r="D123" s="24" t="s">
        <v>289</v>
      </c>
      <c r="E123" s="95">
        <f>+('DOE25'!L286)+('DOE25'!L305)+('DOE25'!L324)</f>
        <v>54647.839999999997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1898255.26</v>
      </c>
      <c r="D124" s="24" t="s">
        <v>289</v>
      </c>
      <c r="E124" s="95">
        <f>+('DOE25'!L287)+('DOE25'!L306)+('DOE25'!L325)</f>
        <v>3299.1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963513.05999999994</v>
      </c>
      <c r="D125" s="24" t="s">
        <v>289</v>
      </c>
      <c r="E125" s="95">
        <f>+('DOE25'!L288)+('DOE25'!L307)+('DOE25'!L326)</f>
        <v>35893.83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1534407.1399999997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19649018.210000001</v>
      </c>
      <c r="D128" s="86">
        <f>SUM(D118:D127)</f>
        <v>1534407.1399999997</v>
      </c>
      <c r="E128" s="86">
        <f>SUM(E118:E127)</f>
        <v>1049225.81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6357.56</v>
      </c>
      <c r="D130" s="24" t="s">
        <v>289</v>
      </c>
      <c r="E130" s="129">
        <f>'DOE25'!L336</f>
        <v>0</v>
      </c>
      <c r="F130" s="129">
        <f>SUM('DOE25'!L374:'DOE25'!L380)</f>
        <v>532358.69999999995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3026683.06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651808.18999999994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383626.68</v>
      </c>
      <c r="G134" s="95">
        <f>'DOE25'!K434</f>
        <v>164419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50000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230000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370000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4334848.8100000005</v>
      </c>
      <c r="D144" s="141">
        <f>SUM(D130:D143)</f>
        <v>0</v>
      </c>
      <c r="E144" s="141">
        <f>SUM(E130:E143)</f>
        <v>0</v>
      </c>
      <c r="F144" s="141">
        <f>SUM(F130:F143)</f>
        <v>915985.37999999989</v>
      </c>
      <c r="G144" s="141">
        <f>SUM(G130:G143)</f>
        <v>164419</v>
      </c>
    </row>
    <row r="145" spans="1:9" ht="12.75" thickTop="1" thickBot="1" x14ac:dyDescent="0.25">
      <c r="A145" s="33" t="s">
        <v>244</v>
      </c>
      <c r="C145" s="86">
        <f>(C115+C128+C144)</f>
        <v>58067772.340000004</v>
      </c>
      <c r="D145" s="86">
        <f>(D115+D128+D144)</f>
        <v>1534407.1399999997</v>
      </c>
      <c r="E145" s="86">
        <f>(E115+E128+E144)</f>
        <v>2780411.2300000004</v>
      </c>
      <c r="F145" s="86">
        <f>(F115+F128+F144)</f>
        <v>915985.37999999989</v>
      </c>
      <c r="G145" s="86">
        <f>(G115+G128+G144)</f>
        <v>164419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29</v>
      </c>
      <c r="E151" s="153">
        <f>'DOE25'!I490</f>
        <v>29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7/99</v>
      </c>
      <c r="C152" s="152" t="str">
        <f>'DOE25'!G491</f>
        <v>08/06</v>
      </c>
      <c r="D152" s="152" t="str">
        <f>'DOE25'!H491</f>
        <v>07/10</v>
      </c>
      <c r="E152" s="152" t="str">
        <f>'DOE25'!I491</f>
        <v>07/10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8/19</v>
      </c>
      <c r="C153" s="152" t="str">
        <f>'DOE25'!G492</f>
        <v>8/16</v>
      </c>
      <c r="D153" s="152" t="str">
        <f>'DOE25'!H492</f>
        <v>08/39</v>
      </c>
      <c r="E153" s="152" t="str">
        <f>'DOE25'!I492</f>
        <v>08/39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17500000</v>
      </c>
      <c r="C154" s="137">
        <f>'DOE25'!G493</f>
        <v>1225000</v>
      </c>
      <c r="D154" s="137">
        <f>'DOE25'!H493</f>
        <v>35115529.659999996</v>
      </c>
      <c r="E154" s="137">
        <f>'DOE25'!I493</f>
        <v>1817970.34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5.2</v>
      </c>
      <c r="C155" s="137">
        <f>'DOE25'!G494</f>
        <v>3.79</v>
      </c>
      <c r="D155" s="137">
        <f>'DOE25'!H494</f>
        <v>4.4400000000000004</v>
      </c>
      <c r="E155" s="137">
        <f>'DOE25'!I494</f>
        <v>4.4400000000000004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6125000</v>
      </c>
      <c r="C156" s="137">
        <f>'DOE25'!G495</f>
        <v>480000</v>
      </c>
      <c r="D156" s="137">
        <f>'DOE25'!H495</f>
        <v>30062080.18</v>
      </c>
      <c r="E156" s="137">
        <f>'DOE25'!I495</f>
        <v>1556347.59</v>
      </c>
      <c r="F156" s="137">
        <f>'DOE25'!J495</f>
        <v>0</v>
      </c>
      <c r="G156" s="138">
        <f>SUM(B156:F156)</f>
        <v>38223427.770000003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875000</v>
      </c>
      <c r="C158" s="137">
        <f>'DOE25'!G497</f>
        <v>120000</v>
      </c>
      <c r="D158" s="137">
        <f>'DOE25'!H497</f>
        <v>1931677.92</v>
      </c>
      <c r="E158" s="137">
        <f>'DOE25'!I497</f>
        <v>100005.13999999998</v>
      </c>
      <c r="F158" s="137">
        <f>'DOE25'!J497</f>
        <v>0</v>
      </c>
      <c r="G158" s="138">
        <f t="shared" si="0"/>
        <v>3026683.06</v>
      </c>
    </row>
    <row r="159" spans="1:9" x14ac:dyDescent="0.2">
      <c r="A159" s="22" t="s">
        <v>35</v>
      </c>
      <c r="B159" s="137">
        <f>'DOE25'!F498</f>
        <v>5250000</v>
      </c>
      <c r="C159" s="137">
        <f>'DOE25'!G498</f>
        <v>360000</v>
      </c>
      <c r="D159" s="137">
        <f>'DOE25'!H498</f>
        <v>28130402.25</v>
      </c>
      <c r="E159" s="137">
        <f>'DOE25'!I498</f>
        <v>1456342.45</v>
      </c>
      <c r="F159" s="137">
        <f>'DOE25'!J498</f>
        <v>0</v>
      </c>
      <c r="G159" s="138">
        <f t="shared" si="0"/>
        <v>35196744.700000003</v>
      </c>
    </row>
    <row r="160" spans="1:9" x14ac:dyDescent="0.2">
      <c r="A160" s="22" t="s">
        <v>36</v>
      </c>
      <c r="B160" s="137">
        <f>'DOE25'!F499</f>
        <v>826875</v>
      </c>
      <c r="C160" s="137">
        <f>'DOE25'!G499</f>
        <v>20520</v>
      </c>
      <c r="D160" s="137">
        <f>'DOE25'!H499</f>
        <v>30381240.66</v>
      </c>
      <c r="E160" s="137">
        <f>'DOE25'!I499</f>
        <v>1572870.89</v>
      </c>
      <c r="F160" s="137">
        <f>'DOE25'!J499</f>
        <v>0</v>
      </c>
      <c r="G160" s="138">
        <f t="shared" si="0"/>
        <v>32801506.550000001</v>
      </c>
    </row>
    <row r="161" spans="1:7" x14ac:dyDescent="0.2">
      <c r="A161" s="22" t="s">
        <v>37</v>
      </c>
      <c r="B161" s="137">
        <f>'DOE25'!F500</f>
        <v>6076875</v>
      </c>
      <c r="C161" s="137">
        <f>'DOE25'!G500</f>
        <v>380520</v>
      </c>
      <c r="D161" s="137">
        <f>'DOE25'!H500</f>
        <v>58511642.909999996</v>
      </c>
      <c r="E161" s="137">
        <f>'DOE25'!I500</f>
        <v>3029213.34</v>
      </c>
      <c r="F161" s="137">
        <f>'DOE25'!J500</f>
        <v>0</v>
      </c>
      <c r="G161" s="138">
        <f t="shared" si="0"/>
        <v>67998251.25</v>
      </c>
    </row>
    <row r="162" spans="1:7" x14ac:dyDescent="0.2">
      <c r="A162" s="22" t="s">
        <v>38</v>
      </c>
      <c r="B162" s="137">
        <f>'DOE25'!F501</f>
        <v>875000</v>
      </c>
      <c r="C162" s="137">
        <f>'DOE25'!G501</f>
        <v>120000</v>
      </c>
      <c r="D162" s="137">
        <f>'DOE25'!H501</f>
        <v>1842457.11</v>
      </c>
      <c r="E162" s="137">
        <f>'DOE25'!I501</f>
        <v>95386.07</v>
      </c>
      <c r="F162" s="137">
        <f>'DOE25'!J501</f>
        <v>0</v>
      </c>
      <c r="G162" s="138">
        <f t="shared" si="0"/>
        <v>2932843.18</v>
      </c>
    </row>
    <row r="163" spans="1:7" x14ac:dyDescent="0.2">
      <c r="A163" s="22" t="s">
        <v>39</v>
      </c>
      <c r="B163" s="137">
        <f>'DOE25'!F502</f>
        <v>206718.75</v>
      </c>
      <c r="C163" s="137">
        <f>'DOE25'!G502</f>
        <v>11400</v>
      </c>
      <c r="D163" s="137">
        <f>'DOE25'!H502</f>
        <v>409874.65</v>
      </c>
      <c r="E163" s="137">
        <f>'DOE25'!I502</f>
        <v>21219.67</v>
      </c>
      <c r="F163" s="137">
        <f>'DOE25'!J502</f>
        <v>0</v>
      </c>
      <c r="G163" s="138">
        <f t="shared" si="0"/>
        <v>649213.07000000007</v>
      </c>
    </row>
    <row r="164" spans="1:7" x14ac:dyDescent="0.2">
      <c r="A164" s="22" t="s">
        <v>246</v>
      </c>
      <c r="B164" s="137">
        <f>'DOE25'!F503</f>
        <v>1081718.75</v>
      </c>
      <c r="C164" s="137">
        <f>'DOE25'!G503</f>
        <v>131400</v>
      </c>
      <c r="D164" s="137">
        <f>'DOE25'!H503</f>
        <v>2252331.7600000002</v>
      </c>
      <c r="E164" s="137">
        <f>'DOE25'!I503</f>
        <v>116605.74</v>
      </c>
      <c r="F164" s="137">
        <f>'DOE25'!J503</f>
        <v>0</v>
      </c>
      <c r="G164" s="138">
        <f t="shared" si="0"/>
        <v>3582056.2500000005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KEENE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17132</v>
      </c>
    </row>
    <row r="5" spans="1:4" x14ac:dyDescent="0.2">
      <c r="B5" t="s">
        <v>704</v>
      </c>
      <c r="C5" s="179">
        <f>IF('DOE25'!G665+'DOE25'!G670=0,0,ROUND('DOE25'!G672,0))</f>
        <v>13065</v>
      </c>
    </row>
    <row r="6" spans="1:4" x14ac:dyDescent="0.2">
      <c r="B6" t="s">
        <v>62</v>
      </c>
      <c r="C6" s="179">
        <f>IF('DOE25'!H665+'DOE25'!H670=0,0,ROUND('DOE25'!H672,0))</f>
        <v>14594</v>
      </c>
    </row>
    <row r="7" spans="1:4" x14ac:dyDescent="0.2">
      <c r="B7" t="s">
        <v>705</v>
      </c>
      <c r="C7" s="179">
        <f>IF('DOE25'!I665+'DOE25'!I670=0,0,ROUND('DOE25'!I672,0))</f>
        <v>15223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21455131</v>
      </c>
      <c r="D10" s="182">
        <f>ROUND((C10/$C$28)*100,1)</f>
        <v>37.1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11695286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1452021</v>
      </c>
      <c r="D12" s="182">
        <f>ROUND((C12/$C$28)*100,1)</f>
        <v>2.5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754507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5273882</v>
      </c>
      <c r="D15" s="182">
        <f t="shared" ref="D15:D27" si="0">ROUND((C15/$C$28)*100,1)</f>
        <v>9.1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1891092</v>
      </c>
      <c r="D16" s="182">
        <f t="shared" si="0"/>
        <v>3.3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3594133</v>
      </c>
      <c r="D17" s="182">
        <f t="shared" si="0"/>
        <v>6.2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3005980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146227</v>
      </c>
      <c r="D19" s="182">
        <f t="shared" si="0"/>
        <v>0.3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4885375</v>
      </c>
      <c r="D20" s="182">
        <f t="shared" si="0"/>
        <v>8.4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1901554</v>
      </c>
      <c r="D21" s="182">
        <f t="shared" si="0"/>
        <v>3.3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5000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453146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651808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678143.85000000009</v>
      </c>
      <c r="D27" s="182">
        <f t="shared" si="0"/>
        <v>1.2</v>
      </c>
    </row>
    <row r="28" spans="1:4" x14ac:dyDescent="0.2">
      <c r="B28" s="187" t="s">
        <v>723</v>
      </c>
      <c r="C28" s="180">
        <f>SUM(C10:C27)</f>
        <v>57843285.850000001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538716</v>
      </c>
    </row>
    <row r="30" spans="1:4" x14ac:dyDescent="0.2">
      <c r="B30" s="187" t="s">
        <v>729</v>
      </c>
      <c r="C30" s="180">
        <f>SUM(C28:C29)</f>
        <v>58382001.850000001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3026683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26959534</v>
      </c>
      <c r="D35" s="182">
        <f t="shared" ref="D35:D40" si="1">ROUND((C35/$C$41)*100,1)</f>
        <v>44.3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13424440.980000012</v>
      </c>
      <c r="D36" s="182">
        <f t="shared" si="1"/>
        <v>22.1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14674252</v>
      </c>
      <c r="D37" s="182">
        <f t="shared" si="1"/>
        <v>24.1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2436168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3355167</v>
      </c>
      <c r="D39" s="182">
        <f t="shared" si="1"/>
        <v>5.5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60849561.980000012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5" sqref="A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KEENE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4</v>
      </c>
      <c r="B4" s="219">
        <v>10</v>
      </c>
      <c r="C4" s="284" t="s">
        <v>918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2014-09-29T16:42:06Z</cp:lastPrinted>
  <dcterms:created xsi:type="dcterms:W3CDTF">1997-12-04T19:04:30Z</dcterms:created>
  <dcterms:modified xsi:type="dcterms:W3CDTF">2014-12-05T16:17:24Z</dcterms:modified>
</cp:coreProperties>
</file>