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19200" windowHeight="115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8" i="12" l="1"/>
  <c r="B19" i="12"/>
  <c r="B10" i="12"/>
  <c r="F276" i="1"/>
  <c r="F233" i="1"/>
  <c r="J604" i="1"/>
  <c r="I604" i="1"/>
  <c r="H604" i="1"/>
  <c r="F215" i="1"/>
  <c r="F197" i="1"/>
  <c r="J591" i="1"/>
  <c r="I225" i="1"/>
  <c r="H225" i="1"/>
  <c r="I222" i="1"/>
  <c r="H222" i="1"/>
  <c r="H221" i="1"/>
  <c r="F221" i="1"/>
  <c r="H216" i="1"/>
  <c r="G200" i="1"/>
  <c r="C36" i="12"/>
  <c r="B37" i="12"/>
  <c r="B40" i="12"/>
  <c r="B30" i="12"/>
  <c r="C30" i="12" s="1"/>
  <c r="B29" i="12"/>
  <c r="C29" i="12" s="1"/>
  <c r="B21" i="12"/>
  <c r="C21" i="12"/>
  <c r="B20" i="12"/>
  <c r="B12" i="12"/>
  <c r="B11" i="12"/>
  <c r="B13" i="12" s="1"/>
  <c r="C20" i="12"/>
  <c r="F367" i="1"/>
  <c r="F368" i="1"/>
  <c r="J523" i="1"/>
  <c r="I523" i="1"/>
  <c r="H523" i="1"/>
  <c r="H522" i="1"/>
  <c r="F523" i="1"/>
  <c r="G527" i="1"/>
  <c r="G528" i="1"/>
  <c r="G526" i="1"/>
  <c r="H521" i="1"/>
  <c r="J522" i="1"/>
  <c r="I522" i="1"/>
  <c r="F522" i="1"/>
  <c r="J521" i="1"/>
  <c r="I521" i="1"/>
  <c r="F521" i="1"/>
  <c r="G532" i="1"/>
  <c r="G522" i="1" s="1"/>
  <c r="L522" i="1" s="1"/>
  <c r="F550" i="1" s="1"/>
  <c r="G533" i="1"/>
  <c r="G523" i="1" s="1"/>
  <c r="G531" i="1"/>
  <c r="G521" i="1" s="1"/>
  <c r="G613" i="1"/>
  <c r="F613" i="1"/>
  <c r="F612" i="1"/>
  <c r="G612" i="1" s="1"/>
  <c r="L612" i="1" s="1"/>
  <c r="G663" i="1" s="1"/>
  <c r="F611" i="1"/>
  <c r="G611" i="1" s="1"/>
  <c r="I591" i="1"/>
  <c r="H591" i="1"/>
  <c r="J592" i="1"/>
  <c r="I592" i="1"/>
  <c r="H592" i="1"/>
  <c r="H598" i="1" s="1"/>
  <c r="H649" i="1" s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D29" i="13" s="1"/>
  <c r="C29" i="13" s="1"/>
  <c r="J290" i="1"/>
  <c r="J309" i="1"/>
  <c r="J328" i="1"/>
  <c r="F31" i="13" s="1"/>
  <c r="K290" i="1"/>
  <c r="G31" i="13" s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C11" i="10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B27" i="12"/>
  <c r="C27" i="12"/>
  <c r="C28" i="12" s="1"/>
  <c r="C31" i="12" s="1"/>
  <c r="A31" i="12" s="1"/>
  <c r="B9" i="12"/>
  <c r="C9" i="12"/>
  <c r="B18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/>
  <c r="C40" i="10"/>
  <c r="F60" i="1"/>
  <c r="G60" i="1"/>
  <c r="H60" i="1"/>
  <c r="I60" i="1"/>
  <c r="I112" i="1" s="1"/>
  <c r="I193" i="1" s="1"/>
  <c r="G630" i="1" s="1"/>
  <c r="F79" i="1"/>
  <c r="C57" i="2" s="1"/>
  <c r="C62" i="2" s="1"/>
  <c r="F94" i="1"/>
  <c r="F111" i="1"/>
  <c r="G111" i="1"/>
  <c r="G112" i="1" s="1"/>
  <c r="G193" i="1" s="1"/>
  <c r="G628" i="1" s="1"/>
  <c r="J628" i="1" s="1"/>
  <c r="H79" i="1"/>
  <c r="H94" i="1"/>
  <c r="H111" i="1"/>
  <c r="I111" i="1"/>
  <c r="J111" i="1"/>
  <c r="J112" i="1" s="1"/>
  <c r="J193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H169" i="1"/>
  <c r="I147" i="1"/>
  <c r="I162" i="1"/>
  <c r="L250" i="1"/>
  <c r="L332" i="1"/>
  <c r="L254" i="1"/>
  <c r="L268" i="1"/>
  <c r="L269" i="1"/>
  <c r="L349" i="1"/>
  <c r="E142" i="2" s="1"/>
  <c r="E144" i="2" s="1"/>
  <c r="L350" i="1"/>
  <c r="I665" i="1"/>
  <c r="I670" i="1"/>
  <c r="I669" i="1"/>
  <c r="C42" i="10"/>
  <c r="C32" i="10"/>
  <c r="L374" i="1"/>
  <c r="C29" i="10" s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 s="1"/>
  <c r="L541" i="1"/>
  <c r="J549" i="1"/>
  <c r="L542" i="1"/>
  <c r="J550" i="1" s="1"/>
  <c r="J552" i="1" s="1"/>
  <c r="L543" i="1"/>
  <c r="J551" i="1"/>
  <c r="E132" i="2"/>
  <c r="E131" i="2"/>
  <c r="K270" i="1"/>
  <c r="J270" i="1"/>
  <c r="I270" i="1"/>
  <c r="H270" i="1"/>
  <c r="G270" i="1"/>
  <c r="F270" i="1"/>
  <c r="L270" i="1" s="1"/>
  <c r="C131" i="2"/>
  <c r="A1" i="2"/>
  <c r="A2" i="2"/>
  <c r="C8" i="2"/>
  <c r="D8" i="2"/>
  <c r="E8" i="2"/>
  <c r="F8" i="2"/>
  <c r="F18" i="2" s="1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F31" i="2" s="1"/>
  <c r="F51" i="2" s="1"/>
  <c r="I449" i="1"/>
  <c r="J23" i="1"/>
  <c r="C23" i="2"/>
  <c r="C31" i="2" s="1"/>
  <c r="D23" i="2"/>
  <c r="E23" i="2"/>
  <c r="F23" i="2"/>
  <c r="I450" i="1"/>
  <c r="J24" i="1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/>
  <c r="I457" i="1"/>
  <c r="J37" i="1" s="1"/>
  <c r="I459" i="1"/>
  <c r="J48" i="1"/>
  <c r="G47" i="2" s="1"/>
  <c r="C49" i="2"/>
  <c r="D56" i="2"/>
  <c r="E56" i="2"/>
  <c r="E63" i="2" s="1"/>
  <c r="E57" i="2"/>
  <c r="C58" i="2"/>
  <c r="E58" i="2"/>
  <c r="C59" i="2"/>
  <c r="D59" i="2"/>
  <c r="E59" i="2"/>
  <c r="F59" i="2"/>
  <c r="D60" i="2"/>
  <c r="C61" i="2"/>
  <c r="D61" i="2"/>
  <c r="E61" i="2"/>
  <c r="E62" i="2"/>
  <c r="F61" i="2"/>
  <c r="F62" i="2"/>
  <c r="C66" i="2"/>
  <c r="C67" i="2"/>
  <c r="C69" i="2"/>
  <c r="D69" i="2"/>
  <c r="D70" i="2"/>
  <c r="E69" i="2"/>
  <c r="E70" i="2" s="1"/>
  <c r="F69" i="2"/>
  <c r="F70" i="2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F91" i="2" s="1"/>
  <c r="C89" i="2"/>
  <c r="D89" i="2"/>
  <c r="E89" i="2"/>
  <c r="F89" i="2"/>
  <c r="C90" i="2"/>
  <c r="C93" i="2"/>
  <c r="F93" i="2"/>
  <c r="F103" i="2" s="1"/>
  <c r="C94" i="2"/>
  <c r="C103" i="2" s="1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D103" i="2" s="1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E122" i="2"/>
  <c r="E123" i="2"/>
  <c r="E124" i="2"/>
  <c r="C125" i="2"/>
  <c r="E125" i="2"/>
  <c r="F128" i="2"/>
  <c r="G128" i="2"/>
  <c r="C130" i="2"/>
  <c r="E130" i="2"/>
  <c r="D134" i="2"/>
  <c r="D144" i="2"/>
  <c r="F134" i="2"/>
  <c r="K419" i="1"/>
  <c r="K427" i="1"/>
  <c r="K433" i="1"/>
  <c r="L263" i="1"/>
  <c r="C135" i="2" s="1"/>
  <c r="E135" i="2"/>
  <c r="L264" i="1"/>
  <c r="C136" i="2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B160" i="2"/>
  <c r="C160" i="2"/>
  <c r="G160" i="2"/>
  <c r="D160" i="2"/>
  <c r="E160" i="2"/>
  <c r="F160" i="2"/>
  <c r="F500" i="1"/>
  <c r="G500" i="1"/>
  <c r="C161" i="2" s="1"/>
  <c r="G161" i="2" s="1"/>
  <c r="H500" i="1"/>
  <c r="D161" i="2"/>
  <c r="I500" i="1"/>
  <c r="E161" i="2" s="1"/>
  <c r="J500" i="1"/>
  <c r="F161" i="2"/>
  <c r="B162" i="2"/>
  <c r="C162" i="2"/>
  <c r="D162" i="2"/>
  <c r="G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/>
  <c r="I503" i="1"/>
  <c r="E164" i="2" s="1"/>
  <c r="J503" i="1"/>
  <c r="F164" i="2"/>
  <c r="F19" i="1"/>
  <c r="G617" i="1" s="1"/>
  <c r="G19" i="1"/>
  <c r="H19" i="1"/>
  <c r="G619" i="1" s="1"/>
  <c r="I19" i="1"/>
  <c r="F32" i="1"/>
  <c r="F52" i="1"/>
  <c r="H617" i="1" s="1"/>
  <c r="G32" i="1"/>
  <c r="G52" i="1"/>
  <c r="H618" i="1"/>
  <c r="H32" i="1"/>
  <c r="I32" i="1"/>
  <c r="I52" i="1" s="1"/>
  <c r="H620" i="1" s="1"/>
  <c r="J620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H211" i="1"/>
  <c r="I211" i="1"/>
  <c r="J211" i="1"/>
  <c r="K211" i="1"/>
  <c r="F229" i="1"/>
  <c r="G229" i="1"/>
  <c r="H229" i="1"/>
  <c r="H257" i="1" s="1"/>
  <c r="H271" i="1" s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G338" i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9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4" i="1" s="1"/>
  <c r="G638" i="1" s="1"/>
  <c r="J638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F461" i="1" s="1"/>
  <c r="H639" i="1" s="1"/>
  <c r="G452" i="1"/>
  <c r="H452" i="1"/>
  <c r="F460" i="1"/>
  <c r="G460" i="1"/>
  <c r="G461" i="1" s="1"/>
  <c r="H640" i="1" s="1"/>
  <c r="H460" i="1"/>
  <c r="H461" i="1"/>
  <c r="F470" i="1"/>
  <c r="G470" i="1"/>
  <c r="H470" i="1"/>
  <c r="I470" i="1"/>
  <c r="J470" i="1"/>
  <c r="F474" i="1"/>
  <c r="F476" i="1"/>
  <c r="H622" i="1" s="1"/>
  <c r="G474" i="1"/>
  <c r="G476" i="1"/>
  <c r="H623" i="1" s="1"/>
  <c r="H474" i="1"/>
  <c r="H476" i="1" s="1"/>
  <c r="H624" i="1" s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H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K545" i="1" s="1"/>
  <c r="L557" i="1"/>
  <c r="L558" i="1"/>
  <c r="L559" i="1"/>
  <c r="L560" i="1" s="1"/>
  <c r="L571" i="1" s="1"/>
  <c r="F560" i="1"/>
  <c r="G560" i="1"/>
  <c r="H560" i="1"/>
  <c r="I560" i="1"/>
  <c r="I571" i="1" s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5" i="1"/>
  <c r="K596" i="1"/>
  <c r="K597" i="1"/>
  <c r="I598" i="1"/>
  <c r="H650" i="1"/>
  <c r="J598" i="1"/>
  <c r="H651" i="1" s="1"/>
  <c r="K602" i="1"/>
  <c r="K603" i="1"/>
  <c r="I605" i="1"/>
  <c r="J605" i="1"/>
  <c r="F614" i="1"/>
  <c r="H614" i="1"/>
  <c r="I614" i="1"/>
  <c r="J614" i="1"/>
  <c r="K614" i="1"/>
  <c r="G618" i="1"/>
  <c r="G620" i="1"/>
  <c r="G622" i="1"/>
  <c r="G623" i="1"/>
  <c r="J623" i="1" s="1"/>
  <c r="G624" i="1"/>
  <c r="J624" i="1" s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G641" i="1"/>
  <c r="H641" i="1"/>
  <c r="G643" i="1"/>
  <c r="H643" i="1"/>
  <c r="G644" i="1"/>
  <c r="J644" i="1" s="1"/>
  <c r="H644" i="1"/>
  <c r="G645" i="1"/>
  <c r="H645" i="1"/>
  <c r="G649" i="1"/>
  <c r="J649" i="1" s="1"/>
  <c r="G650" i="1"/>
  <c r="J650" i="1" s="1"/>
  <c r="G652" i="1"/>
  <c r="H652" i="1"/>
  <c r="G653" i="1"/>
  <c r="H653" i="1"/>
  <c r="G654" i="1"/>
  <c r="H654" i="1"/>
  <c r="H655" i="1"/>
  <c r="L256" i="1"/>
  <c r="K257" i="1"/>
  <c r="C26" i="10"/>
  <c r="C70" i="2"/>
  <c r="C91" i="2"/>
  <c r="G157" i="2"/>
  <c r="D91" i="2"/>
  <c r="E31" i="2"/>
  <c r="D19" i="13"/>
  <c r="C19" i="13"/>
  <c r="E78" i="2"/>
  <c r="E81" i="2" s="1"/>
  <c r="J641" i="1"/>
  <c r="J571" i="1"/>
  <c r="K571" i="1"/>
  <c r="I169" i="1"/>
  <c r="J643" i="1"/>
  <c r="J140" i="1"/>
  <c r="F571" i="1"/>
  <c r="H140" i="1"/>
  <c r="L393" i="1"/>
  <c r="H571" i="1"/>
  <c r="G192" i="1"/>
  <c r="H192" i="1"/>
  <c r="J655" i="1"/>
  <c r="J645" i="1"/>
  <c r="L570" i="1"/>
  <c r="C138" i="2"/>
  <c r="C23" i="10"/>
  <c r="G163" i="2"/>
  <c r="G158" i="2"/>
  <c r="G103" i="2"/>
  <c r="E50" i="2"/>
  <c r="E51" i="2" s="1"/>
  <c r="C50" i="2"/>
  <c r="C51" i="2" s="1"/>
  <c r="F50" i="2"/>
  <c r="L407" i="1"/>
  <c r="C140" i="2"/>
  <c r="I192" i="1"/>
  <c r="E91" i="2"/>
  <c r="J654" i="1"/>
  <c r="J653" i="1"/>
  <c r="G21" i="2"/>
  <c r="J434" i="1"/>
  <c r="F434" i="1"/>
  <c r="K434" i="1"/>
  <c r="G134" i="2" s="1"/>
  <c r="G144" i="2" s="1"/>
  <c r="G145" i="2" s="1"/>
  <c r="G169" i="1"/>
  <c r="G140" i="1"/>
  <c r="F140" i="1"/>
  <c r="G42" i="2"/>
  <c r="H434" i="1"/>
  <c r="I140" i="1"/>
  <c r="J652" i="1"/>
  <c r="G571" i="1"/>
  <c r="I434" i="1"/>
  <c r="G434" i="1"/>
  <c r="G22" i="2"/>
  <c r="L351" i="1"/>
  <c r="L427" i="1"/>
  <c r="J45" i="1"/>
  <c r="I460" i="1"/>
  <c r="D50" i="2"/>
  <c r="J14" i="1"/>
  <c r="G13" i="2" s="1"/>
  <c r="I446" i="1"/>
  <c r="G642" i="1"/>
  <c r="F192" i="1"/>
  <c r="B161" i="2"/>
  <c r="K500" i="1"/>
  <c r="F56" i="2"/>
  <c r="F63" i="2" s="1"/>
  <c r="F104" i="2" s="1"/>
  <c r="C35" i="10"/>
  <c r="C36" i="10" s="1"/>
  <c r="C41" i="10" s="1"/>
  <c r="F130" i="2"/>
  <c r="F144" i="2" s="1"/>
  <c r="F145" i="2" s="1"/>
  <c r="B164" i="2"/>
  <c r="K503" i="1"/>
  <c r="C78" i="2"/>
  <c r="C81" i="2"/>
  <c r="J31" i="1"/>
  <c r="G30" i="2" s="1"/>
  <c r="I452" i="1"/>
  <c r="I461" i="1"/>
  <c r="H642" i="1" s="1"/>
  <c r="J642" i="1" s="1"/>
  <c r="E18" i="2"/>
  <c r="F22" i="13"/>
  <c r="C25" i="10"/>
  <c r="C132" i="2"/>
  <c r="H25" i="13"/>
  <c r="C25" i="13" s="1"/>
  <c r="D18" i="13"/>
  <c r="C18" i="13" s="1"/>
  <c r="C24" i="10"/>
  <c r="D15" i="13"/>
  <c r="C15" i="13"/>
  <c r="F662" i="1"/>
  <c r="I662" i="1" s="1"/>
  <c r="H647" i="1"/>
  <c r="C118" i="2"/>
  <c r="C111" i="2"/>
  <c r="C17" i="10"/>
  <c r="E8" i="13"/>
  <c r="C8" i="13" s="1"/>
  <c r="C120" i="2"/>
  <c r="C22" i="13"/>
  <c r="G44" i="2"/>
  <c r="D17" i="13"/>
  <c r="C17" i="13"/>
  <c r="D127" i="2"/>
  <c r="D128" i="2"/>
  <c r="D145" i="2" s="1"/>
  <c r="C114" i="2"/>
  <c r="E120" i="2"/>
  <c r="J257" i="1"/>
  <c r="J271" i="1" s="1"/>
  <c r="H112" i="1"/>
  <c r="C123" i="2"/>
  <c r="D62" i="2"/>
  <c r="D63" i="2" s="1"/>
  <c r="D104" i="2" s="1"/>
  <c r="C39" i="10"/>
  <c r="L290" i="1"/>
  <c r="H33" i="13"/>
  <c r="E112" i="2"/>
  <c r="F112" i="1"/>
  <c r="C56" i="2"/>
  <c r="C63" i="2" s="1"/>
  <c r="C104" i="2" s="1"/>
  <c r="K271" i="1"/>
  <c r="H193" i="1"/>
  <c r="G629" i="1" s="1"/>
  <c r="J629" i="1" s="1"/>
  <c r="C110" i="2"/>
  <c r="D7" i="13"/>
  <c r="C7" i="13" s="1"/>
  <c r="I257" i="1"/>
  <c r="I271" i="1" s="1"/>
  <c r="L382" i="1"/>
  <c r="G636" i="1" s="1"/>
  <c r="J636" i="1" s="1"/>
  <c r="L337" i="1"/>
  <c r="G661" i="1"/>
  <c r="H661" i="1"/>
  <c r="F661" i="1"/>
  <c r="I661" i="1" s="1"/>
  <c r="C121" i="2"/>
  <c r="C20" i="10"/>
  <c r="C19" i="10"/>
  <c r="E13" i="13"/>
  <c r="C13" i="13" s="1"/>
  <c r="L229" i="1"/>
  <c r="C38" i="10"/>
  <c r="C122" i="2"/>
  <c r="D12" i="13"/>
  <c r="C12" i="13"/>
  <c r="C119" i="2"/>
  <c r="D6" i="13"/>
  <c r="C6" i="13" s="1"/>
  <c r="L362" i="1"/>
  <c r="C27" i="10"/>
  <c r="F193" i="1"/>
  <c r="G627" i="1"/>
  <c r="J627" i="1" s="1"/>
  <c r="G635" i="1"/>
  <c r="J635" i="1" s="1"/>
  <c r="I369" i="1"/>
  <c r="H634" i="1"/>
  <c r="J634" i="1"/>
  <c r="G552" i="1"/>
  <c r="I524" i="1"/>
  <c r="I545" i="1"/>
  <c r="H545" i="1"/>
  <c r="L544" i="1"/>
  <c r="H552" i="1"/>
  <c r="L534" i="1"/>
  <c r="K591" i="1"/>
  <c r="K598" i="1" s="1"/>
  <c r="G647" i="1" s="1"/>
  <c r="J647" i="1" s="1"/>
  <c r="D31" i="2"/>
  <c r="D51" i="2" s="1"/>
  <c r="J618" i="1"/>
  <c r="D18" i="2"/>
  <c r="C18" i="2"/>
  <c r="B31" i="12"/>
  <c r="C19" i="12"/>
  <c r="C22" i="12" s="1"/>
  <c r="A22" i="12" s="1"/>
  <c r="B22" i="12"/>
  <c r="C12" i="12"/>
  <c r="C21" i="10"/>
  <c r="C124" i="2"/>
  <c r="C128" i="2" s="1"/>
  <c r="L247" i="1"/>
  <c r="G651" i="1"/>
  <c r="J651" i="1" s="1"/>
  <c r="C37" i="12"/>
  <c r="C40" i="12" s="1"/>
  <c r="A40" i="12" s="1"/>
  <c r="L211" i="1"/>
  <c r="F660" i="1" s="1"/>
  <c r="C13" i="10"/>
  <c r="G211" i="1"/>
  <c r="G257" i="1" s="1"/>
  <c r="G271" i="1" s="1"/>
  <c r="C112" i="2"/>
  <c r="I476" i="1"/>
  <c r="H625" i="1" s="1"/>
  <c r="D36" i="10"/>
  <c r="J630" i="1"/>
  <c r="J625" i="1"/>
  <c r="D38" i="10"/>
  <c r="D39" i="10"/>
  <c r="E33" i="13"/>
  <c r="D35" i="13" s="1"/>
  <c r="K604" i="1"/>
  <c r="K605" i="1"/>
  <c r="G648" i="1" s="1"/>
  <c r="H605" i="1"/>
  <c r="E119" i="2"/>
  <c r="E118" i="2"/>
  <c r="K338" i="1"/>
  <c r="K352" i="1" s="1"/>
  <c r="J338" i="1"/>
  <c r="H648" i="1" s="1"/>
  <c r="J352" i="1"/>
  <c r="C12" i="10"/>
  <c r="L523" i="1"/>
  <c r="F551" i="1" s="1"/>
  <c r="K551" i="1" s="1"/>
  <c r="L328" i="1"/>
  <c r="H660" i="1"/>
  <c r="H664" i="1" s="1"/>
  <c r="J524" i="1"/>
  <c r="J545" i="1"/>
  <c r="E109" i="2"/>
  <c r="H338" i="1"/>
  <c r="H352" i="1" s="1"/>
  <c r="E121" i="2"/>
  <c r="C16" i="10"/>
  <c r="C15" i="10"/>
  <c r="K550" i="1"/>
  <c r="F524" i="1"/>
  <c r="F545" i="1"/>
  <c r="F338" i="1"/>
  <c r="F352" i="1"/>
  <c r="E110" i="2"/>
  <c r="E115" i="2"/>
  <c r="I338" i="1"/>
  <c r="I352" i="1"/>
  <c r="C10" i="10"/>
  <c r="L309" i="1"/>
  <c r="G660" i="1" s="1"/>
  <c r="G664" i="1" s="1"/>
  <c r="C18" i="10"/>
  <c r="D5" i="13"/>
  <c r="C5" i="13" s="1"/>
  <c r="F257" i="1"/>
  <c r="F271" i="1"/>
  <c r="C109" i="2"/>
  <c r="C115" i="2"/>
  <c r="J648" i="1"/>
  <c r="E128" i="2"/>
  <c r="C28" i="10"/>
  <c r="D23" i="10" s="1"/>
  <c r="E145" i="2"/>
  <c r="L338" i="1"/>
  <c r="L352" i="1"/>
  <c r="G633" i="1" s="1"/>
  <c r="J633" i="1" s="1"/>
  <c r="I660" i="1"/>
  <c r="D17" i="10"/>
  <c r="D21" i="10"/>
  <c r="D18" i="10"/>
  <c r="D19" i="10"/>
  <c r="D12" i="10"/>
  <c r="C30" i="10"/>
  <c r="D13" i="10"/>
  <c r="D24" i="10"/>
  <c r="D20" i="10"/>
  <c r="D16" i="10"/>
  <c r="J617" i="1"/>
  <c r="H667" i="1" l="1"/>
  <c r="H672" i="1"/>
  <c r="C6" i="10" s="1"/>
  <c r="G667" i="1"/>
  <c r="G672" i="1"/>
  <c r="C5" i="10" s="1"/>
  <c r="D26" i="10"/>
  <c r="D27" i="10"/>
  <c r="D15" i="10"/>
  <c r="G31" i="2"/>
  <c r="J32" i="1"/>
  <c r="G23" i="2"/>
  <c r="F33" i="13"/>
  <c r="G63" i="2"/>
  <c r="G104" i="2" s="1"/>
  <c r="D25" i="10"/>
  <c r="D11" i="10"/>
  <c r="D22" i="10"/>
  <c r="D10" i="10"/>
  <c r="D28" i="10" s="1"/>
  <c r="D31" i="13"/>
  <c r="E104" i="2"/>
  <c r="J19" i="1"/>
  <c r="G621" i="1" s="1"/>
  <c r="G8" i="2"/>
  <c r="G18" i="2" s="1"/>
  <c r="I552" i="1"/>
  <c r="G646" i="1"/>
  <c r="G631" i="1"/>
  <c r="J631" i="1" s="1"/>
  <c r="G33" i="13"/>
  <c r="L611" i="1"/>
  <c r="G614" i="1"/>
  <c r="G524" i="1"/>
  <c r="G545" i="1" s="1"/>
  <c r="L521" i="1"/>
  <c r="C144" i="2"/>
  <c r="C145" i="2" s="1"/>
  <c r="D40" i="10"/>
  <c r="D37" i="10"/>
  <c r="D35" i="10"/>
  <c r="D41" i="10" s="1"/>
  <c r="J622" i="1"/>
  <c r="J619" i="1"/>
  <c r="G164" i="2"/>
  <c r="J51" i="1"/>
  <c r="G36" i="2"/>
  <c r="G50" i="2" s="1"/>
  <c r="G51" i="2" s="1"/>
  <c r="C139" i="2"/>
  <c r="C141" i="2" s="1"/>
  <c r="L408" i="1"/>
  <c r="L257" i="1"/>
  <c r="L271" i="1" s="1"/>
  <c r="G632" i="1" s="1"/>
  <c r="J632" i="1" s="1"/>
  <c r="C11" i="12"/>
  <c r="C10" i="12" s="1"/>
  <c r="C13" i="12" s="1"/>
  <c r="A13" i="12" s="1"/>
  <c r="F663" i="1" l="1"/>
  <c r="L614" i="1"/>
  <c r="C31" i="13"/>
  <c r="D33" i="13"/>
  <c r="D36" i="13" s="1"/>
  <c r="G626" i="1"/>
  <c r="J626" i="1" s="1"/>
  <c r="J52" i="1"/>
  <c r="H621" i="1" s="1"/>
  <c r="J621" i="1" s="1"/>
  <c r="F549" i="1"/>
  <c r="L524" i="1"/>
  <c r="L545" i="1" s="1"/>
  <c r="G637" i="1"/>
  <c r="J637" i="1" s="1"/>
  <c r="H646" i="1"/>
  <c r="J646" i="1" s="1"/>
  <c r="H656" i="1"/>
  <c r="K549" i="1" l="1"/>
  <c r="K552" i="1" s="1"/>
  <c r="F552" i="1"/>
  <c r="I663" i="1"/>
  <c r="I664" i="1" s="1"/>
  <c r="F664" i="1"/>
  <c r="F667" i="1" l="1"/>
  <c r="F672" i="1"/>
  <c r="C4" i="10" s="1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<sst xmlns="http://schemas.openxmlformats.org/spreadsheetml/2006/main" count="3954" uniqueCount="912">
  <si>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</si>
  <si>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</si>
  <si>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</si>
  <si>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</si>
  <si>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</si>
  <si>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</si>
  <si>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</si>
  <si>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</si>
  <si>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</si>
  <si>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</si>
  <si>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</si>
  <si>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</si>
  <si>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</si>
  <si>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</si>
  <si>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</si>
  <si>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</si>
  <si>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</si>
  <si>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</si>
  <si>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</si>
  <si>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</si>
  <si>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</si>
  <si>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</si>
  <si>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</si>
  <si>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</si>
  <si>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</si>
  <si>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</si>
  <si>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</si>
  <si>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</si>
  <si>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</si>
  <si>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</si>
  <si>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</si>
  <si>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</si>
  <si>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</si>
  <si>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</si>
  <si>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</si>
  <si>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</si>
  <si>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</si>
  <si>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</si>
  <si>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</si>
  <si>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</si>
  <si>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</si>
  <si>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</si>
  <si>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</si>
  <si>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</si>
  <si>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</si>
  <si>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</si>
  <si>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</si>
  <si>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</si>
  <si>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</si>
  <si>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</si>
  <si>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</si>
  <si>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</si>
  <si>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</si>
  <si>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</si>
  <si>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</si>
  <si>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</si>
  <si>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</si>
  <si>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</si>
  <si>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</si>
  <si>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</si>
  <si>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</si>
  <si>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</si>
  <si>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</si>
  <si>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</si>
  <si>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</si>
  <si>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</si>
  <si>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</si>
  <si>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</si>
  <si>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</si>
  <si>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</si>
  <si>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</si>
  <si>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</si>
  <si>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</si>
  <si>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</si>
  <si>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</si>
  <si>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</si>
  <si>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</si>
  <si>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</si>
  <si>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</si>
  <si>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</si>
  <si>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</si>
  <si>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</si>
  <si>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</si>
  <si>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</si>
  <si>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</si>
  <si>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</si>
  <si>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</si>
  <si>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</si>
  <si>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</si>
  <si>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</si>
  <si>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</si>
  <si>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</si>
  <si>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</si>
  <si>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</si>
  <si>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</si>
  <si>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</si>
  <si>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</si>
  <si>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</si>
  <si>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</si>
  <si>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</si>
  <si>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</si>
  <si>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</si>
  <si>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</si>
  <si>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</si>
  <si>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</si>
  <si>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</si>
  <si>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</si>
  <si>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</si>
  <si>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</si>
  <si>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</si>
  <si>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</si>
  <si>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</si>
  <si>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</si>
  <si>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</si>
  <si>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</si>
  <si>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</si>
  <si>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</si>
  <si>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</si>
  <si>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</si>
  <si>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</si>
  <si>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</si>
  <si>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</si>
  <si>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</si>
  <si>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</si>
  <si>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</si>
  <si>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</si>
  <si>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</si>
  <si>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</si>
  <si>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</si>
  <si>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</si>
  <si>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</si>
  <si>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</si>
  <si>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</si>
  <si>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</si>
  <si>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</si>
  <si>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</si>
  <si>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</si>
  <si>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</si>
  <si>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</si>
  <si>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</si>
  <si>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</si>
  <si>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</si>
  <si>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</si>
  <si>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</si>
  <si>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</si>
  <si>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</si>
  <si>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</si>
  <si>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</si>
  <si>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</si>
  <si>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</si>
  <si>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</si>
  <si>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</si>
  <si>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</si>
  <si>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</si>
  <si>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</si>
  <si>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</si>
  <si>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</si>
  <si>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</si>
  <si>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</si>
  <si>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</si>
  <si>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</si>
  <si>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</si>
  <si>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</si>
  <si>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</si>
  <si>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</si>
  <si>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</si>
  <si>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</si>
  <si>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</si>
  <si>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</si>
  <si>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</si>
  <si>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</si>
  <si>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</si>
  <si>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</si>
  <si>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</si>
  <si>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</si>
  <si>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</si>
  <si>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</si>
  <si>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</si>
  <si>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</si>
  <si>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</si>
  <si>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</si>
  <si>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</si>
  <si>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</si>
  <si>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</si>
  <si>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</si>
  <si>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</si>
  <si>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</si>
  <si>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</si>
  <si>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</si>
  <si>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</si>
  <si>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</si>
  <si>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</si>
  <si>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</si>
  <si>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</si>
  <si>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</si>
  <si>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</si>
  <si>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</si>
  <si>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</si>
  <si>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</si>
  <si>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</si>
  <si>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</si>
  <si>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</si>
  <si>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</si>
  <si>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</si>
  <si>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</si>
  <si>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</si>
  <si>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</si>
  <si>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</si>
  <si>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</si>
  <si>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</si>
  <si>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</si>
  <si>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</si>
  <si>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</si>
  <si>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</si>
  <si>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</si>
  <si>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</si>
  <si>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</si>
  <si>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</si>
  <si>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</si>
  <si>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</si>
  <si>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</si>
  <si>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</si>
  <si>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</si>
  <si>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</si>
  <si>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</si>
  <si>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</si>
  <si>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</si>
  <si>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</si>
  <si>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</si>
  <si>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</si>
  <si>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</si>
  <si>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</si>
  <si>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</si>
  <si>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</si>
  <si>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</si>
  <si>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</si>
  <si>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</si>
  <si>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</si>
  <si>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</si>
  <si>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</si>
  <si>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</si>
  <si>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</si>
  <si>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</si>
  <si>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</si>
  <si>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</si>
  <si>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</si>
  <si>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</si>
  <si>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</si>
  <si>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</si>
  <si>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</si>
  <si>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</si>
  <si>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</si>
  <si>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</si>
  <si>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</si>
  <si>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</si>
  <si>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</si>
  <si>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</si>
  <si>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</si>
  <si>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</si>
  <si>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</si>
  <si>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</si>
  <si>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</si>
  <si>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</si>
  <si>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</si>
  <si>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</si>
  <si>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</si>
  <si>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</si>
  <si>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</si>
  <si>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</si>
  <si>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</si>
  <si>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</si>
  <si>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</si>
  <si>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</si>
  <si>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</si>
  <si>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</si>
  <si>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</si>
  <si>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</si>
  <si>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</si>
  <si>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</si>
  <si>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</si>
  <si>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</si>
  <si>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</si>
  <si>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</si>
  <si>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</si>
  <si>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</si>
  <si>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</si>
  <si>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</si>
  <si>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</si>
  <si>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</si>
  <si>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</si>
  <si>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</si>
  <si>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</si>
  <si>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</si>
  <si>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</si>
  <si>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</si>
  <si>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</si>
  <si>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</si>
  <si>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</si>
  <si>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</si>
  <si>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</si>
  <si>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</si>
  <si>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</si>
  <si>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</si>
  <si>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</si>
  <si>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</si>
  <si>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</si>
  <si>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</si>
  <si>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</si>
  <si>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</si>
  <si>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</si>
  <si>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</si>
  <si>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</si>
  <si>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</si>
  <si>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</si>
  <si>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</si>
  <si>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</si>
  <si>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</si>
  <si>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</si>
  <si>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</si>
  <si>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</si>
  <si>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</si>
  <si>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</si>
  <si>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</si>
  <si>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</si>
  <si>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</si>
  <si>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</si>
  <si>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</si>
  <si>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</si>
  <si>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</si>
  <si>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</si>
  <si>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</si>
  <si>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</si>
  <si>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</si>
  <si>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</si>
  <si>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</si>
  <si>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</si>
  <si>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</si>
  <si>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</si>
  <si>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</si>
  <si>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</si>
  <si>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</si>
  <si>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</si>
  <si>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</si>
  <si>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</si>
  <si>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</si>
  <si>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</si>
  <si>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</si>
  <si>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</si>
  <si>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</si>
  <si>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</si>
  <si>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</si>
  <si>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</si>
  <si>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</si>
  <si>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</si>
  <si>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</si>
  <si>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</si>
  <si>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</si>
  <si>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</si>
  <si>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</si>
  <si>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</si>
  <si>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</si>
  <si>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</si>
  <si>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</si>
  <si>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</si>
  <si>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</si>
  <si>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</si>
  <si>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</si>
  <si>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</si>
  <si>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</si>
  <si>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</si>
  <si>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</si>
  <si>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</si>
  <si>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</si>
  <si>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</si>
  <si>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</si>
  <si>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</si>
  <si>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</si>
  <si>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</si>
  <si>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</si>
  <si>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</si>
  <si>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</si>
  <si>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</si>
  <si>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</si>
  <si>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</si>
  <si>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</si>
  <si>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</si>
  <si>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</si>
  <si>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</si>
  <si>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</si>
  <si>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</si>
  <si>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</si>
  <si>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</si>
  <si>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</si>
  <si>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</si>
  <si>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</si>
  <si>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</si>
  <si>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</si>
  <si>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</si>
  <si>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</si>
  <si>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</si>
  <si>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</si>
  <si>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</si>
  <si>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</si>
  <si>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</si>
  <si>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</si>
  <si>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</si>
  <si>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</si>
  <si>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</si>
  <si>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</si>
  <si>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</si>
  <si>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</si>
  <si>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</si>
  <si>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</si>
  <si>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</si>
  <si>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</si>
  <si>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</si>
  <si>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</si>
  <si>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</si>
  <si>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</si>
  <si>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</si>
  <si>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</si>
  <si>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</si>
  <si>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</si>
  <si>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</si>
  <si>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</si>
  <si>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</si>
  <si>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</si>
  <si>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</si>
  <si>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</si>
  <si>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</si>
  <si>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</si>
  <si>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</si>
  <si>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</si>
  <si>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</si>
  <si>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</si>
  <si>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</si>
  <si>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</si>
  <si>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</si>
  <si>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</si>
  <si>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</si>
  <si>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</si>
  <si>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</si>
  <si>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</si>
  <si>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</si>
  <si>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</si>
  <si>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</si>
  <si>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</si>
  <si>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</si>
  <si>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</si>
  <si>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</si>
  <si>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</si>
  <si>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</si>
  <si>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</si>
  <si>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</si>
  <si>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</si>
  <si>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</si>
  <si>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</si>
  <si>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</si>
  <si>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</si>
  <si>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</si>
  <si>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</si>
  <si>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</si>
  <si>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</si>
  <si>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</si>
  <si>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</si>
  <si>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</si>
  <si>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</si>
  <si>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</si>
  <si>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</si>
  <si>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</si>
  <si>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</si>
  <si>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</si>
  <si>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</si>
  <si>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</si>
  <si>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</si>
  <si>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</si>
  <si>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</si>
  <si>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</si>
  <si>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</si>
  <si>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</si>
  <si>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</si>
  <si>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</si>
  <si>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</si>
  <si>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</si>
  <si>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</si>
  <si>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</si>
  <si>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</si>
  <si>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</si>
  <si>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</si>
  <si>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</si>
  <si>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</si>
  <si>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</si>
  <si>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</si>
  <si>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</si>
  <si>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</si>
  <si>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</si>
  <si>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</si>
  <si>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</si>
  <si>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</si>
  <si>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</si>
  <si>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</si>
  <si>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</si>
  <si>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</si>
  <si>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</si>
  <si>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</si>
  <si>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</si>
  <si>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</si>
  <si>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</si>
  <si>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</si>
  <si>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</si>
  <si>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</si>
  <si>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</si>
  <si>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</si>
  <si>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</si>
  <si>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</si>
  <si>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</si>
  <si>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</si>
  <si>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</si>
  <si>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</si>
  <si>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</si>
  <si>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</si>
  <si>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</si>
  <si>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</si>
  <si>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</si>
  <si>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</si>
  <si>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</si>
  <si>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</si>
  <si>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</si>
  <si>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</si>
  <si>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</si>
  <si>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</si>
  <si>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</si>
  <si>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</si>
  <si>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</si>
  <si>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</si>
  <si>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</si>
  <si>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</si>
  <si>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</si>
  <si>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</si>
  <si>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</si>
  <si>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</si>
  <si>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</si>
  <si>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</si>
  <si>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</si>
  <si>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</si>
  <si>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</si>
  <si>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</si>
  <si>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</si>
  <si>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</si>
  <si>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</si>
  <si>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</si>
  <si>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</si>
  <si>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</si>
  <si>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</si>
  <si>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</si>
  <si>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</si>
  <si>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</si>
  <si>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</si>
  <si>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</si>
  <si>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</si>
  <si>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</si>
  <si>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</si>
  <si>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</si>
  <si>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</si>
  <si>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</si>
  <si>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</si>
  <si>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</si>
  <si>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</si>
  <si>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</si>
  <si>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</si>
  <si>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</si>
  <si>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</si>
  <si>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</si>
  <si>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</si>
  <si>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</si>
  <si>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</si>
  <si>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</si>
  <si>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</si>
  <si>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</si>
  <si>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</si>
  <si>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</si>
  <si>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</si>
  <si>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</si>
  <si>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</si>
  <si>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</si>
  <si>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</si>
  <si>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</si>
  <si>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</si>
  <si>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</si>
  <si>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</si>
  <si>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</si>
  <si>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</si>
  <si>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</si>
  <si>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</si>
  <si>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</si>
  <si>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</si>
  <si>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</si>
  <si>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</si>
  <si>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</si>
  <si>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</si>
  <si>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</si>
  <si>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</si>
  <si>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</si>
  <si>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</si>
  <si>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</si>
  <si>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</si>
  <si>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</si>
  <si>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</si>
  <si>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</si>
  <si>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</si>
  <si>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</si>
  <si>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</si>
  <si>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</si>
  <si>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</si>
  <si>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</si>
  <si>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</si>
  <si>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</si>
  <si>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</si>
  <si>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</si>
  <si>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</si>
  <si>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</si>
  <si>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</si>
  <si>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</si>
  <si>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</si>
  <si>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</si>
  <si>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</si>
  <si>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</si>
  <si>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</si>
  <si>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</si>
  <si>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</si>
  <si>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</si>
  <si>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</si>
  <si>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</si>
  <si>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</si>
  <si>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</si>
  <si>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</si>
  <si>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</si>
  <si>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</si>
  <si>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</si>
  <si>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</si>
  <si>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</si>
  <si>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</si>
  <si>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</si>
  <si>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</si>
  <si>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</si>
  <si>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</si>
  <si>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</si>
  <si>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</si>
  <si>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</si>
  <si>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</si>
  <si>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</si>
  <si>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</si>
  <si>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</si>
  <si>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</si>
  <si>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</si>
  <si>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</si>
  <si>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</si>
  <si>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</si>
  <si>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</si>
  <si>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</si>
  <si>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</si>
  <si>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</si>
  <si>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</si>
  <si>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</si>
  <si>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</si>
  <si>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</si>
  <si>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</si>
  <si>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</si>
  <si>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</si>
  <si>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</si>
  <si>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</si>
  <si>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</si>
  <si>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</si>
  <si>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</si>
  <si>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</si>
  <si>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</si>
  <si>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</si>
  <si>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</si>
  <si>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</si>
  <si>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</si>
  <si>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</si>
  <si>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</si>
  <si>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</si>
  <si>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</si>
  <si>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</si>
  <si>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</si>
  <si>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</si>
  <si>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</si>
  <si>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</si>
  <si>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</si>
  <si>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</si>
  <si>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</si>
  <si>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</si>
  <si>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</si>
  <si>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</si>
  <si>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</si>
  <si>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</si>
  <si>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</si>
  <si>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</si>
  <si>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</si>
  <si>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</si>
  <si>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</si>
  <si>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</si>
  <si>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</si>
  <si>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</si>
  <si>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</si>
  <si>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</si>
  <si>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</si>
  <si>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</si>
  <si>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</si>
  <si>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</si>
  <si>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</si>
  <si>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</si>
  <si>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</si>
  <si>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</si>
  <si>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</si>
  <si>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</si>
  <si>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</si>
  <si>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</si>
  <si>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</si>
  <si>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</si>
  <si>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</si>
  <si>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</si>
  <si>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</si>
  <si>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</si>
  <si>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</si>
  <si>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</si>
  <si>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</si>
  <si>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</si>
  <si>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</si>
  <si>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</si>
  <si>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</si>
  <si>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</si>
  <si>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</si>
  <si>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</si>
  <si>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</si>
  <si>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</si>
  <si>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</si>
  <si>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</si>
  <si>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</si>
  <si>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</si>
  <si>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</si>
  <si>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</si>
  <si>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</si>
  <si>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</si>
  <si>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</si>
  <si>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</si>
  <si>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</si>
  <si>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</si>
  <si>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</si>
  <si>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</si>
  <si>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</si>
  <si>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</si>
  <si>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</si>
  <si>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</si>
  <si>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</si>
  <si>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</si>
  <si>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</si>
  <si>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</si>
  <si>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</si>
  <si>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</si>
  <si>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</si>
  <si>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</si>
  <si>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</si>
  <si>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</si>
  <si>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</si>
  <si>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</si>
  <si>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</si>
  <si>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</si>
  <si>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</si>
  <si>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</si>
  <si>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</si>
  <si>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</si>
  <si>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</si>
  <si>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</si>
  <si>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</si>
  <si>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</si>
  <si>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</si>
  <si>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</si>
  <si>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</si>
  <si>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</si>
  <si>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</si>
  <si>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</si>
  <si>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</si>
  <si>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</si>
  <si>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</si>
  <si>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</si>
  <si>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</si>
  <si>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</si>
  <si>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</si>
  <si>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</si>
  <si>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</si>
  <si>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</si>
  <si>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</si>
  <si>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</si>
  <si>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</si>
  <si>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</si>
  <si>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</si>
  <si>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</si>
  <si>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</si>
  <si>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</si>
  <si>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</si>
  <si>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</si>
  <si>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</si>
  <si>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</si>
  <si>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</si>
  <si>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</si>
  <si>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</si>
  <si>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</si>
  <si>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</si>
  <si>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</si>
  <si>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</si>
  <si>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</si>
  <si>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</si>
  <si>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</si>
  <si>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</si>
  <si>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</si>
  <si>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</si>
  <si>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</si>
  <si>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</si>
  <si>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</si>
  <si>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</si>
  <si>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</si>
  <si>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</si>
  <si>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</si>
  <si>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</si>
  <si>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</si>
  <si>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</si>
  <si>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</si>
  <si>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</si>
  <si>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</si>
  <si>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</si>
  <si>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</si>
  <si>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</si>
  <si>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</si>
  <si>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</si>
  <si>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</si>
  <si>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</si>
  <si>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</si>
  <si>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</si>
  <si>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</si>
  <si>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</si>
  <si>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</si>
  <si>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</si>
  <si>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</si>
  <si>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</si>
  <si>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</si>
  <si>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</si>
  <si>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</si>
  <si>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</si>
  <si>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</si>
  <si>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</si>
  <si>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</si>
  <si>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</si>
  <si>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</si>
  <si>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</si>
  <si>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</si>
  <si>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</si>
  <si>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</si>
  <si>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</si>
  <si>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</si>
  <si>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</si>
  <si>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</si>
  <si>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</si>
  <si>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</si>
  <si>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</si>
  <si>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</si>
  <si>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</si>
  <si>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</si>
  <si>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</si>
  <si>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</si>
  <si>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</si>
  <si>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</si>
  <si>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</si>
  <si>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</si>
  <si>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</si>
  <si>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</si>
  <si>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</si>
  <si>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</si>
  <si>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</si>
  <si>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</si>
  <si>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</si>
  <si>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</si>
  <si>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</si>
  <si>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</si>
  <si>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</si>
  <si>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</si>
  <si>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</si>
  <si>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</si>
  <si>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</si>
  <si>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</si>
  <si>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</si>
  <si>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</si>
  <si>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</si>
  <si>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</si>
  <si>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</si>
  <si>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</si>
  <si>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</si>
  <si>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</si>
  <si>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</si>
  <si>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</si>
  <si>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</si>
  <si>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</si>
  <si>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</si>
  <si>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</si>
  <si>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</si>
  <si>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</si>
  <si>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</si>
  <si>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</si>
  <si>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</si>
  <si>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</si>
  <si>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Laconia School District              SAU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</si>
</sst>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285</v>
      </c>
      <c r="C2" s="21">
        <v>285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1716.28</v>
      </c>
      <c r="G9" s="18">
        <v>1900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806010.74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516496.28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261485.51</v>
      </c>
      <c r="G13" s="18">
        <v>41893.71</v>
      </c>
      <c r="H13" s="18">
        <v>580047.53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5056.53</v>
      </c>
      <c r="G14" s="18"/>
      <c r="H14" s="18">
        <v>29770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28032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38970.5</v>
      </c>
      <c r="G17" s="18"/>
      <c r="H17" s="18">
        <v>239.87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10000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1639735.84</v>
      </c>
      <c r="G19" s="41">
        <f>SUM(G9:G18)</f>
        <v>71825.709999999992</v>
      </c>
      <c r="H19" s="41">
        <f>SUM(H9:H18)</f>
        <v>610057.4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60833.08</v>
      </c>
      <c r="H22" s="18">
        <v>455663.2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1260704.98</v>
      </c>
      <c r="G24" s="18">
        <v>2513.89</v>
      </c>
      <c r="H24" s="18">
        <v>40548.620000000003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45469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72.47</v>
      </c>
      <c r="G30" s="18"/>
      <c r="H30" s="18">
        <v>113845.58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333489.39</v>
      </c>
      <c r="G31" s="18">
        <v>8478.74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1639735.8399999999</v>
      </c>
      <c r="G32" s="41">
        <f>SUM(G22:G31)</f>
        <v>71825.710000000006</v>
      </c>
      <c r="H32" s="41">
        <f>SUM(H22:H31)</f>
        <v>610057.4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1639735.8399999999</v>
      </c>
      <c r="G52" s="41">
        <f>G51+G32</f>
        <v>71825.710000000006</v>
      </c>
      <c r="H52" s="41">
        <f>H51+H32</f>
        <v>610057.4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17046835.27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17046835.27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145092.29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1550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83647.5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25879.7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392054.21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40000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543131.41</v>
      </c>
      <c r="G79" s="45" t="s">
        <v>289</v>
      </c>
      <c r="H79" s="41">
        <f>SUM(H63:H78)</f>
        <v>145092.29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349487.74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6511</v>
      </c>
      <c r="G98" s="24" t="s">
        <v>289</v>
      </c>
      <c r="H98" s="18">
        <v>150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630.16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6291.31</v>
      </c>
      <c r="H102" s="18">
        <v>120902.26</v>
      </c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3162</v>
      </c>
      <c r="G110" s="18"/>
      <c r="H110" s="18">
        <v>104829.72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10303.16</v>
      </c>
      <c r="G111" s="41">
        <f>SUM(G96:G110)</f>
        <v>355779.05</v>
      </c>
      <c r="H111" s="41">
        <f>SUM(H96:H110)</f>
        <v>225881.97999999998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17600269.84</v>
      </c>
      <c r="G112" s="41">
        <f>G60+G111</f>
        <v>355779.05</v>
      </c>
      <c r="H112" s="41">
        <f>H60+H79+H94+H111</f>
        <v>370974.27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5808930.9000000004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4726415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>
        <v>29290.63</v>
      </c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10535345.9</v>
      </c>
      <c r="G121" s="41">
        <f>SUM(G117:G120)</f>
        <v>29290.63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773934.52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58146.92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865130.15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36181.199999999997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50501.09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1697211.59</v>
      </c>
      <c r="G136" s="41">
        <f>SUM(G123:G135)</f>
        <v>36181.199999999997</v>
      </c>
      <c r="H136" s="41">
        <f>SUM(H123:H135)</f>
        <v>50501.09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12232557.49</v>
      </c>
      <c r="G140" s="41">
        <f>G121+SUM(G136:G137)</f>
        <v>65471.83</v>
      </c>
      <c r="H140" s="41">
        <f>H121+SUM(H136:H139)</f>
        <v>50501.09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344095.13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559168.38</v>
      </c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1277863.47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305267.92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154954.37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267529.71000000002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713371.84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491799.42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24225.83</v>
      </c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491799.42</v>
      </c>
      <c r="G162" s="41">
        <f>SUM(G150:G161)</f>
        <v>713371.84</v>
      </c>
      <c r="H162" s="41">
        <f>SUM(H150:H161)</f>
        <v>2933104.81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491799.42</v>
      </c>
      <c r="G169" s="41">
        <f>G147+G162+SUM(G163:G168)</f>
        <v>713371.84</v>
      </c>
      <c r="H169" s="41">
        <f>H147+H162+SUM(H163:H168)</f>
        <v>2933104.81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250</v>
      </c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250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30324876.75</v>
      </c>
      <c r="G193" s="47">
        <f>G112+G140+G169+G192</f>
        <v>1134622.72</v>
      </c>
      <c r="H193" s="47">
        <f>H112+H140+H169+H192</f>
        <v>3354580.17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2876445.42-0.01</f>
        <v>2876445.41</v>
      </c>
      <c r="G197" s="18">
        <v>1506132.49</v>
      </c>
      <c r="H197" s="18">
        <v>50240.28</v>
      </c>
      <c r="I197" s="18">
        <v>116146.93</v>
      </c>
      <c r="J197" s="18">
        <v>13590.55</v>
      </c>
      <c r="K197" s="18"/>
      <c r="L197" s="19">
        <f>SUM(F197:K197)</f>
        <v>4562555.66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1258378.26</v>
      </c>
      <c r="G198" s="18">
        <v>661373.98</v>
      </c>
      <c r="H198" s="18">
        <v>654442.68000000005</v>
      </c>
      <c r="I198" s="18">
        <v>3100.9</v>
      </c>
      <c r="J198" s="18">
        <v>260.05</v>
      </c>
      <c r="K198" s="18">
        <v>219</v>
      </c>
      <c r="L198" s="19">
        <f>SUM(F198:K198)</f>
        <v>2577774.8699999996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8342.9</v>
      </c>
      <c r="G200" s="18">
        <f>4704.17+0.04</f>
        <v>4704.21</v>
      </c>
      <c r="H200" s="18"/>
      <c r="I200" s="18">
        <v>413.52</v>
      </c>
      <c r="J200" s="18"/>
      <c r="K200" s="18"/>
      <c r="L200" s="19">
        <f>SUM(F200:K200)</f>
        <v>13460.630000000001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558029.68999999994</v>
      </c>
      <c r="G202" s="18">
        <v>292445.31</v>
      </c>
      <c r="H202" s="18">
        <v>90311.7</v>
      </c>
      <c r="I202" s="18">
        <v>4875.87</v>
      </c>
      <c r="J202" s="18"/>
      <c r="K202" s="18"/>
      <c r="L202" s="19">
        <f t="shared" ref="L202:L208" si="0">SUM(F202:K202)</f>
        <v>945662.57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234154.74</v>
      </c>
      <c r="G203" s="18">
        <v>159486.57</v>
      </c>
      <c r="H203" s="18">
        <v>87185.69</v>
      </c>
      <c r="I203" s="18">
        <v>38556.03</v>
      </c>
      <c r="J203" s="18">
        <v>32002.35</v>
      </c>
      <c r="K203" s="18"/>
      <c r="L203" s="19">
        <f t="shared" si="0"/>
        <v>551385.38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206543.49</v>
      </c>
      <c r="G204" s="18">
        <v>112186.76</v>
      </c>
      <c r="H204" s="18">
        <v>62151.66</v>
      </c>
      <c r="I204" s="18">
        <v>3294.23</v>
      </c>
      <c r="J204" s="18"/>
      <c r="K204" s="18">
        <v>18217.03</v>
      </c>
      <c r="L204" s="19">
        <f t="shared" si="0"/>
        <v>402393.17000000004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460808.16</v>
      </c>
      <c r="G205" s="18">
        <v>245482.99</v>
      </c>
      <c r="H205" s="18">
        <v>13395.03</v>
      </c>
      <c r="I205" s="18">
        <v>3473.75</v>
      </c>
      <c r="J205" s="18"/>
      <c r="K205" s="18">
        <v>2993.1</v>
      </c>
      <c r="L205" s="19">
        <f t="shared" si="0"/>
        <v>726153.02999999991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102270.18</v>
      </c>
      <c r="G206" s="18">
        <v>54254.42</v>
      </c>
      <c r="H206" s="18">
        <v>53019.76</v>
      </c>
      <c r="I206" s="18">
        <v>95.42</v>
      </c>
      <c r="J206" s="18">
        <v>574.73</v>
      </c>
      <c r="K206" s="18"/>
      <c r="L206" s="19">
        <f t="shared" si="0"/>
        <v>210214.51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289999.38</v>
      </c>
      <c r="G207" s="18">
        <v>152102.92000000001</v>
      </c>
      <c r="H207" s="18">
        <v>159883.22</v>
      </c>
      <c r="I207" s="18">
        <v>291476.33</v>
      </c>
      <c r="J207" s="18">
        <v>12233.36</v>
      </c>
      <c r="K207" s="18"/>
      <c r="L207" s="19">
        <f t="shared" si="0"/>
        <v>905695.21000000008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262429.90000000002</v>
      </c>
      <c r="I208" s="18">
        <v>2107.41</v>
      </c>
      <c r="J208" s="18"/>
      <c r="K208" s="18"/>
      <c r="L208" s="19">
        <f t="shared" si="0"/>
        <v>264537.31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5994972.21</v>
      </c>
      <c r="G211" s="41">
        <f t="shared" si="1"/>
        <v>3188169.6499999994</v>
      </c>
      <c r="H211" s="41">
        <f t="shared" si="1"/>
        <v>1433059.9200000004</v>
      </c>
      <c r="I211" s="41">
        <f t="shared" si="1"/>
        <v>463540.39</v>
      </c>
      <c r="J211" s="41">
        <f t="shared" si="1"/>
        <v>58661.04</v>
      </c>
      <c r="K211" s="41">
        <f t="shared" si="1"/>
        <v>21429.129999999997</v>
      </c>
      <c r="L211" s="41">
        <f t="shared" si="1"/>
        <v>11159832.34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1972811.49-0.01</f>
        <v>1972811.48</v>
      </c>
      <c r="G215" s="18">
        <v>1027086.7</v>
      </c>
      <c r="H215" s="18">
        <v>33706.800000000003</v>
      </c>
      <c r="I215" s="18">
        <v>63130.43</v>
      </c>
      <c r="J215" s="18">
        <v>19133.34</v>
      </c>
      <c r="K215" s="18"/>
      <c r="L215" s="19">
        <f>SUM(F215:K215)</f>
        <v>3115868.7499999995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747081</v>
      </c>
      <c r="G216" s="18">
        <v>391233.8</v>
      </c>
      <c r="H216" s="18">
        <f>312700.02+0.01</f>
        <v>312700.03000000003</v>
      </c>
      <c r="I216" s="18">
        <v>7076.24</v>
      </c>
      <c r="J216" s="18"/>
      <c r="K216" s="18">
        <v>680</v>
      </c>
      <c r="L216" s="19">
        <f>SUM(F216:K216)</f>
        <v>1458771.07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47536.67</v>
      </c>
      <c r="G218" s="18">
        <v>25089.14</v>
      </c>
      <c r="H218" s="18">
        <v>9162</v>
      </c>
      <c r="I218" s="18">
        <v>8210.9699999999993</v>
      </c>
      <c r="J218" s="18"/>
      <c r="K218" s="18"/>
      <c r="L218" s="19">
        <f>SUM(F218:K218)</f>
        <v>89998.78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295746.40999999997</v>
      </c>
      <c r="G220" s="18">
        <v>155239.06</v>
      </c>
      <c r="H220" s="18">
        <v>52160.81</v>
      </c>
      <c r="I220" s="18">
        <v>1663.85</v>
      </c>
      <c r="J220" s="18"/>
      <c r="K220" s="18"/>
      <c r="L220" s="19">
        <f t="shared" ref="L220:L226" si="2">SUM(F220:K220)</f>
        <v>504810.12999999995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114989.27-0.01</f>
        <v>114989.26000000001</v>
      </c>
      <c r="G221" s="18">
        <v>79354.740000000005</v>
      </c>
      <c r="H221" s="18">
        <f>38831.95+0.02</f>
        <v>38831.969999999994</v>
      </c>
      <c r="I221" s="18">
        <v>18049.060000000001</v>
      </c>
      <c r="J221" s="18">
        <v>36152.6</v>
      </c>
      <c r="K221" s="18"/>
      <c r="L221" s="19">
        <f t="shared" si="2"/>
        <v>287377.63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124662.54</v>
      </c>
      <c r="G222" s="18">
        <v>67112.320000000007</v>
      </c>
      <c r="H222" s="18">
        <f>32285+0.01</f>
        <v>32285.01</v>
      </c>
      <c r="I222" s="18">
        <f>1682.17-0.01</f>
        <v>1682.16</v>
      </c>
      <c r="J222" s="18"/>
      <c r="K222" s="18">
        <v>9302.32</v>
      </c>
      <c r="L222" s="19">
        <f t="shared" si="2"/>
        <v>235044.35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257839.32</v>
      </c>
      <c r="G223" s="18">
        <v>136854.14000000001</v>
      </c>
      <c r="H223" s="18">
        <v>20780.59</v>
      </c>
      <c r="I223" s="18">
        <v>604.61</v>
      </c>
      <c r="J223" s="18"/>
      <c r="K223" s="18">
        <v>1712.32</v>
      </c>
      <c r="L223" s="19">
        <f t="shared" si="2"/>
        <v>417790.98000000004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52223.07</v>
      </c>
      <c r="G224" s="18">
        <v>27921.24</v>
      </c>
      <c r="H224" s="18">
        <v>27073.919999999998</v>
      </c>
      <c r="I224" s="18">
        <v>48.72</v>
      </c>
      <c r="J224" s="18">
        <v>293.48</v>
      </c>
      <c r="K224" s="18"/>
      <c r="L224" s="19">
        <f t="shared" si="2"/>
        <v>107560.43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214827.94</v>
      </c>
      <c r="G225" s="18">
        <v>112901.13</v>
      </c>
      <c r="H225" s="18">
        <f>195039.33-0.01</f>
        <v>195039.31999999998</v>
      </c>
      <c r="I225" s="18">
        <f>231463.61-0.02</f>
        <v>231463.59</v>
      </c>
      <c r="J225" s="18">
        <v>3284.41</v>
      </c>
      <c r="K225" s="18"/>
      <c r="L225" s="19">
        <f t="shared" si="2"/>
        <v>757516.39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156738.09</v>
      </c>
      <c r="I226" s="18">
        <v>1076.1300000000001</v>
      </c>
      <c r="J226" s="18"/>
      <c r="K226" s="18"/>
      <c r="L226" s="19">
        <f t="shared" si="2"/>
        <v>157814.22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3827717.69</v>
      </c>
      <c r="G229" s="41">
        <f>SUM(G215:G228)</f>
        <v>2022792.27</v>
      </c>
      <c r="H229" s="41">
        <f>SUM(H215:H228)</f>
        <v>878478.53999999992</v>
      </c>
      <c r="I229" s="41">
        <f>SUM(I215:I228)</f>
        <v>333005.76</v>
      </c>
      <c r="J229" s="41">
        <f>SUM(J215:J228)</f>
        <v>58863.83</v>
      </c>
      <c r="K229" s="41">
        <f t="shared" si="3"/>
        <v>11694.64</v>
      </c>
      <c r="L229" s="41">
        <f t="shared" si="3"/>
        <v>7132552.7299999986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2173870.54-0.01</f>
        <v>2173870.5300000003</v>
      </c>
      <c r="G233" s="18">
        <v>1138419.79</v>
      </c>
      <c r="H233" s="18">
        <v>49785.18</v>
      </c>
      <c r="I233" s="18">
        <v>123411.62</v>
      </c>
      <c r="J233" s="18">
        <v>22135.71</v>
      </c>
      <c r="K233" s="18"/>
      <c r="L233" s="19">
        <f>SUM(F233:K233)</f>
        <v>3507622.8300000005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644341.4</v>
      </c>
      <c r="G234" s="18">
        <v>339135.33</v>
      </c>
      <c r="H234" s="18">
        <v>277634.75</v>
      </c>
      <c r="I234" s="18">
        <v>2577.1</v>
      </c>
      <c r="J234" s="18">
        <v>2358</v>
      </c>
      <c r="K234" s="18">
        <v>700</v>
      </c>
      <c r="L234" s="19">
        <f>SUM(F234:K234)</f>
        <v>1266746.58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884693.08</v>
      </c>
      <c r="G235" s="18">
        <v>464790.08</v>
      </c>
      <c r="H235" s="18">
        <v>15750.1</v>
      </c>
      <c r="I235" s="18">
        <v>45309.72</v>
      </c>
      <c r="J235" s="18">
        <v>1063.75</v>
      </c>
      <c r="K235" s="18"/>
      <c r="L235" s="19">
        <f>SUM(F235:K235)</f>
        <v>1411606.73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162917.75</v>
      </c>
      <c r="G236" s="18">
        <v>85459.9</v>
      </c>
      <c r="H236" s="18">
        <v>65883.19</v>
      </c>
      <c r="I236" s="18">
        <v>14961.53</v>
      </c>
      <c r="J236" s="18"/>
      <c r="K236" s="18"/>
      <c r="L236" s="19">
        <f>SUM(F236:K236)</f>
        <v>329222.37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191537.36</v>
      </c>
      <c r="G238" s="18">
        <v>100356.56</v>
      </c>
      <c r="H238" s="18">
        <v>47790.89</v>
      </c>
      <c r="I238" s="18">
        <v>1742.75</v>
      </c>
      <c r="J238" s="18"/>
      <c r="K238" s="18">
        <v>120</v>
      </c>
      <c r="L238" s="19">
        <f t="shared" ref="L238:L244" si="4">SUM(F238:K238)</f>
        <v>341547.56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136978.92000000001</v>
      </c>
      <c r="G239" s="18">
        <v>95070.28</v>
      </c>
      <c r="H239" s="18">
        <v>44482.400000000001</v>
      </c>
      <c r="I239" s="18">
        <v>39430.410000000003</v>
      </c>
      <c r="J239" s="18">
        <v>34822.67</v>
      </c>
      <c r="K239" s="18"/>
      <c r="L239" s="19">
        <f t="shared" si="4"/>
        <v>350784.68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202137.12</v>
      </c>
      <c r="G240" s="18">
        <v>108306.63</v>
      </c>
      <c r="H240" s="18">
        <v>37639.339999999997</v>
      </c>
      <c r="I240" s="18">
        <v>2032.61</v>
      </c>
      <c r="J240" s="18"/>
      <c r="K240" s="18">
        <v>11240.3</v>
      </c>
      <c r="L240" s="19">
        <f t="shared" si="4"/>
        <v>361355.99999999994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290032.94</v>
      </c>
      <c r="G241" s="18">
        <v>154102.92000000001</v>
      </c>
      <c r="H241" s="18">
        <v>17089.84</v>
      </c>
      <c r="I241" s="18">
        <v>1725.63</v>
      </c>
      <c r="J241" s="18"/>
      <c r="K241" s="18">
        <v>5985.5</v>
      </c>
      <c r="L241" s="19">
        <f t="shared" si="4"/>
        <v>468936.83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63102.87</v>
      </c>
      <c r="G242" s="18">
        <v>33509.49</v>
      </c>
      <c r="H242" s="18">
        <v>32714.32</v>
      </c>
      <c r="I242" s="18">
        <v>58.88</v>
      </c>
      <c r="J242" s="18">
        <v>354.62</v>
      </c>
      <c r="K242" s="18"/>
      <c r="L242" s="19">
        <f t="shared" si="4"/>
        <v>129740.18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258045.55</v>
      </c>
      <c r="G243" s="18">
        <v>134854.14000000001</v>
      </c>
      <c r="H243" s="18">
        <v>208730.58</v>
      </c>
      <c r="I243" s="18">
        <v>292108.55</v>
      </c>
      <c r="J243" s="18">
        <v>1795.69</v>
      </c>
      <c r="K243" s="18"/>
      <c r="L243" s="19">
        <f t="shared" si="4"/>
        <v>895534.51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234184.45</v>
      </c>
      <c r="I244" s="18">
        <v>1300.32</v>
      </c>
      <c r="J244" s="18"/>
      <c r="K244" s="18"/>
      <c r="L244" s="19">
        <f t="shared" si="4"/>
        <v>235484.77000000002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5007657.5200000005</v>
      </c>
      <c r="G247" s="41">
        <f t="shared" si="5"/>
        <v>2654005.12</v>
      </c>
      <c r="H247" s="41">
        <f t="shared" si="5"/>
        <v>1031685.0399999998</v>
      </c>
      <c r="I247" s="41">
        <f t="shared" si="5"/>
        <v>524659.12</v>
      </c>
      <c r="J247" s="41">
        <f t="shared" si="5"/>
        <v>62530.44</v>
      </c>
      <c r="K247" s="41">
        <f t="shared" si="5"/>
        <v>18045.8</v>
      </c>
      <c r="L247" s="41">
        <f t="shared" si="5"/>
        <v>9298583.0399999991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150203.54</v>
      </c>
      <c r="G251" s="18">
        <v>80403.56</v>
      </c>
      <c r="H251" s="18">
        <v>9436.58</v>
      </c>
      <c r="I251" s="18">
        <v>10527.71</v>
      </c>
      <c r="J251" s="18">
        <v>2000</v>
      </c>
      <c r="K251" s="18">
        <v>2730</v>
      </c>
      <c r="L251" s="19">
        <f t="shared" si="6"/>
        <v>255301.38999999998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150203.54</v>
      </c>
      <c r="G256" s="41">
        <f t="shared" si="7"/>
        <v>80403.56</v>
      </c>
      <c r="H256" s="41">
        <f t="shared" si="7"/>
        <v>9436.58</v>
      </c>
      <c r="I256" s="41">
        <f t="shared" si="7"/>
        <v>10527.71</v>
      </c>
      <c r="J256" s="41">
        <f t="shared" si="7"/>
        <v>2000</v>
      </c>
      <c r="K256" s="41">
        <f t="shared" si="7"/>
        <v>2730</v>
      </c>
      <c r="L256" s="41">
        <f>SUM(F256:K256)</f>
        <v>255301.38999999998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14980550.960000001</v>
      </c>
      <c r="G257" s="41">
        <f t="shared" si="8"/>
        <v>7945370.5999999996</v>
      </c>
      <c r="H257" s="41">
        <f t="shared" si="8"/>
        <v>3352660.08</v>
      </c>
      <c r="I257" s="41">
        <f t="shared" si="8"/>
        <v>1331732.98</v>
      </c>
      <c r="J257" s="41">
        <f t="shared" si="8"/>
        <v>182055.31</v>
      </c>
      <c r="K257" s="41">
        <f t="shared" si="8"/>
        <v>53899.569999999992</v>
      </c>
      <c r="L257" s="41">
        <f t="shared" si="8"/>
        <v>27846269.5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1879099.79</v>
      </c>
      <c r="L260" s="19">
        <f>SUM(F260:K260)</f>
        <v>1879099.79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599507.46</v>
      </c>
      <c r="L261" s="19">
        <f>SUM(F261:K261)</f>
        <v>599507.46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2478607.25</v>
      </c>
      <c r="L270" s="41">
        <f t="shared" si="9"/>
        <v>2478607.25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14980550.960000001</v>
      </c>
      <c r="G271" s="42">
        <f t="shared" si="11"/>
        <v>7945370.5999999996</v>
      </c>
      <c r="H271" s="42">
        <f t="shared" si="11"/>
        <v>3352660.08</v>
      </c>
      <c r="I271" s="42">
        <f t="shared" si="11"/>
        <v>1331732.98</v>
      </c>
      <c r="J271" s="42">
        <f t="shared" si="11"/>
        <v>182055.31</v>
      </c>
      <c r="K271" s="42">
        <f t="shared" si="11"/>
        <v>2532506.8199999998</v>
      </c>
      <c r="L271" s="42">
        <f t="shared" si="11"/>
        <v>30324876.75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572157.93-0.05</f>
        <v>572157.88</v>
      </c>
      <c r="G276" s="18">
        <v>137259.46</v>
      </c>
      <c r="H276" s="18">
        <v>142505.69</v>
      </c>
      <c r="I276" s="18">
        <v>47097.82</v>
      </c>
      <c r="J276" s="18">
        <v>31647.21</v>
      </c>
      <c r="K276" s="18"/>
      <c r="L276" s="19">
        <f>SUM(F276:K276)</f>
        <v>930668.05999999994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178826.44</v>
      </c>
      <c r="G277" s="18">
        <v>75113.86</v>
      </c>
      <c r="H277" s="18">
        <v>6116.3</v>
      </c>
      <c r="I277" s="18">
        <v>2316.2600000000002</v>
      </c>
      <c r="J277" s="18">
        <v>1312.41</v>
      </c>
      <c r="K277" s="18"/>
      <c r="L277" s="19">
        <f>SUM(F277:K277)</f>
        <v>263685.26999999996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139135.42000000001</v>
      </c>
      <c r="G279" s="18">
        <v>10643.86</v>
      </c>
      <c r="H279" s="18">
        <v>4370.53</v>
      </c>
      <c r="I279" s="18">
        <v>44986.92</v>
      </c>
      <c r="J279" s="18"/>
      <c r="K279" s="18"/>
      <c r="L279" s="19">
        <f>SUM(F279:K279)</f>
        <v>199136.73000000004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7050</v>
      </c>
      <c r="G281" s="18">
        <v>4983.72</v>
      </c>
      <c r="H281" s="18">
        <v>58.63</v>
      </c>
      <c r="I281" s="18"/>
      <c r="J281" s="18">
        <v>473.8</v>
      </c>
      <c r="K281" s="18">
        <v>58.75</v>
      </c>
      <c r="L281" s="19">
        <f t="shared" ref="L281:L287" si="12">SUM(F281:K281)</f>
        <v>12624.9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67755.34</v>
      </c>
      <c r="G282" s="18">
        <v>31609.84</v>
      </c>
      <c r="H282" s="18">
        <v>55699.28</v>
      </c>
      <c r="I282" s="18">
        <v>1444.79</v>
      </c>
      <c r="J282" s="18"/>
      <c r="K282" s="18"/>
      <c r="L282" s="19">
        <f t="shared" si="12"/>
        <v>156509.25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6268.48</v>
      </c>
      <c r="G283" s="18">
        <v>2791.81</v>
      </c>
      <c r="H283" s="18">
        <v>58.75</v>
      </c>
      <c r="I283" s="18">
        <v>99.52</v>
      </c>
      <c r="J283" s="18">
        <v>791.66</v>
      </c>
      <c r="K283" s="18"/>
      <c r="L283" s="19">
        <f t="shared" si="12"/>
        <v>10010.219999999999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>
        <v>-10.67</v>
      </c>
      <c r="J284" s="18"/>
      <c r="K284" s="18"/>
      <c r="L284" s="19">
        <f t="shared" si="12"/>
        <v>-10.67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4708.22</v>
      </c>
      <c r="I287" s="18"/>
      <c r="J287" s="18"/>
      <c r="K287" s="18"/>
      <c r="L287" s="19">
        <f t="shared" si="12"/>
        <v>4708.22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971193.56</v>
      </c>
      <c r="G290" s="42">
        <f t="shared" si="13"/>
        <v>262402.55</v>
      </c>
      <c r="H290" s="42">
        <f t="shared" si="13"/>
        <v>213517.4</v>
      </c>
      <c r="I290" s="42">
        <f t="shared" si="13"/>
        <v>95934.64</v>
      </c>
      <c r="J290" s="42">
        <f t="shared" si="13"/>
        <v>34225.080000000009</v>
      </c>
      <c r="K290" s="42">
        <f t="shared" si="13"/>
        <v>58.75</v>
      </c>
      <c r="L290" s="41">
        <f t="shared" si="13"/>
        <v>1577331.9799999997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30760.560000000001</v>
      </c>
      <c r="G295" s="18">
        <v>70073.429999999993</v>
      </c>
      <c r="H295" s="18">
        <v>59122.06</v>
      </c>
      <c r="I295" s="18">
        <v>24191.63</v>
      </c>
      <c r="J295" s="18">
        <v>8782.7999999999993</v>
      </c>
      <c r="K295" s="18"/>
      <c r="L295" s="19">
        <f>SUM(F295:K295)</f>
        <v>192930.47999999998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91315.63</v>
      </c>
      <c r="G296" s="18">
        <v>38357.64</v>
      </c>
      <c r="H296" s="18">
        <v>3123.22</v>
      </c>
      <c r="I296" s="18">
        <v>1182.77</v>
      </c>
      <c r="J296" s="18">
        <v>658.25</v>
      </c>
      <c r="K296" s="18"/>
      <c r="L296" s="19">
        <f>SUM(F296:K296)</f>
        <v>134637.50999999998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71047.87</v>
      </c>
      <c r="G298" s="18">
        <v>5435.16</v>
      </c>
      <c r="H298" s="18">
        <v>2231.7600000000002</v>
      </c>
      <c r="I298" s="18">
        <v>22972.05</v>
      </c>
      <c r="J298" s="18"/>
      <c r="K298" s="18"/>
      <c r="L298" s="19">
        <f>SUM(F298:K298)</f>
        <v>101686.84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3600</v>
      </c>
      <c r="G300" s="18">
        <v>2544.88</v>
      </c>
      <c r="H300" s="18">
        <v>29.94</v>
      </c>
      <c r="I300" s="18"/>
      <c r="J300" s="18">
        <v>241.94</v>
      </c>
      <c r="K300" s="18">
        <v>30</v>
      </c>
      <c r="L300" s="19">
        <f t="shared" ref="L300:L306" si="14">SUM(F300:K300)</f>
        <v>6446.7599999999993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34598.47</v>
      </c>
      <c r="G301" s="18">
        <v>16141.19</v>
      </c>
      <c r="H301" s="18">
        <v>16644.080000000002</v>
      </c>
      <c r="I301" s="18">
        <v>737.77</v>
      </c>
      <c r="J301" s="18"/>
      <c r="K301" s="18"/>
      <c r="L301" s="19">
        <f t="shared" si="14"/>
        <v>68121.510000000009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3200.93</v>
      </c>
      <c r="G302" s="18">
        <v>1425.6</v>
      </c>
      <c r="H302" s="18">
        <v>30</v>
      </c>
      <c r="I302" s="18">
        <v>50.82</v>
      </c>
      <c r="J302" s="18">
        <v>404.25</v>
      </c>
      <c r="K302" s="18"/>
      <c r="L302" s="19">
        <f t="shared" si="14"/>
        <v>5111.5999999999995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>
        <v>-5.82</v>
      </c>
      <c r="J303" s="18"/>
      <c r="K303" s="18"/>
      <c r="L303" s="19">
        <f t="shared" si="14"/>
        <v>-5.82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2404.1999999999998</v>
      </c>
      <c r="I306" s="18"/>
      <c r="J306" s="18"/>
      <c r="K306" s="18"/>
      <c r="L306" s="19">
        <f t="shared" si="14"/>
        <v>2404.1999999999998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234523.46</v>
      </c>
      <c r="G309" s="42">
        <f t="shared" si="15"/>
        <v>133977.9</v>
      </c>
      <c r="H309" s="42">
        <f t="shared" si="15"/>
        <v>83585.259999999995</v>
      </c>
      <c r="I309" s="42">
        <f t="shared" si="15"/>
        <v>49129.219999999994</v>
      </c>
      <c r="J309" s="42">
        <f t="shared" si="15"/>
        <v>10087.24</v>
      </c>
      <c r="K309" s="42">
        <f t="shared" si="15"/>
        <v>30</v>
      </c>
      <c r="L309" s="41">
        <f t="shared" si="15"/>
        <v>511333.07999999996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162967.31</v>
      </c>
      <c r="G314" s="18">
        <v>130571.86</v>
      </c>
      <c r="H314" s="18">
        <v>71939.97</v>
      </c>
      <c r="I314" s="18">
        <v>47593.66</v>
      </c>
      <c r="J314" s="18">
        <v>10612.55</v>
      </c>
      <c r="K314" s="18"/>
      <c r="L314" s="19">
        <f>SUM(F314:K314)</f>
        <v>423685.35000000003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115962.57</v>
      </c>
      <c r="G315" s="18">
        <v>46782.16</v>
      </c>
      <c r="H315" s="18">
        <v>3773.89</v>
      </c>
      <c r="I315" s="18">
        <v>1486.53</v>
      </c>
      <c r="J315" s="18">
        <v>772.04</v>
      </c>
      <c r="K315" s="18"/>
      <c r="L315" s="19">
        <f>SUM(F315:K315)</f>
        <v>168777.19000000003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48518.37</v>
      </c>
      <c r="G316" s="18">
        <v>4695.8500000000004</v>
      </c>
      <c r="H316" s="18">
        <v>26239.53</v>
      </c>
      <c r="I316" s="18">
        <v>27807.1</v>
      </c>
      <c r="J316" s="18">
        <v>37734.25</v>
      </c>
      <c r="K316" s="18"/>
      <c r="L316" s="19">
        <f>SUM(F316:K316)</f>
        <v>144995.1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85849.51</v>
      </c>
      <c r="G317" s="18">
        <v>6567.49</v>
      </c>
      <c r="H317" s="18">
        <v>2696.71</v>
      </c>
      <c r="I317" s="18">
        <v>27757.89</v>
      </c>
      <c r="J317" s="18"/>
      <c r="K317" s="18"/>
      <c r="L317" s="19">
        <f>SUM(F317:K317)</f>
        <v>122871.6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4350</v>
      </c>
      <c r="G319" s="18">
        <v>3075.06</v>
      </c>
      <c r="H319" s="18">
        <v>100.18</v>
      </c>
      <c r="I319" s="18"/>
      <c r="J319" s="18">
        <v>292.33999999999997</v>
      </c>
      <c r="K319" s="18">
        <v>1047.25</v>
      </c>
      <c r="L319" s="19">
        <f t="shared" ref="L319:L325" si="16">SUM(F319:K319)</f>
        <v>8864.83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41806.49</v>
      </c>
      <c r="G320" s="18">
        <v>19503.95</v>
      </c>
      <c r="H320" s="18">
        <v>20221.97</v>
      </c>
      <c r="I320" s="18">
        <v>891.47</v>
      </c>
      <c r="J320" s="18">
        <v>5232</v>
      </c>
      <c r="K320" s="18">
        <v>5393.4</v>
      </c>
      <c r="L320" s="19">
        <f t="shared" si="16"/>
        <v>93049.279999999999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3867.79</v>
      </c>
      <c r="G321" s="18">
        <v>1722.61</v>
      </c>
      <c r="H321" s="18">
        <v>36.25</v>
      </c>
      <c r="I321" s="18">
        <v>61.41</v>
      </c>
      <c r="J321" s="18">
        <v>488.47</v>
      </c>
      <c r="K321" s="18"/>
      <c r="L321" s="19">
        <f t="shared" si="16"/>
        <v>6176.53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>
        <v>-7.76</v>
      </c>
      <c r="J322" s="18"/>
      <c r="K322" s="18"/>
      <c r="L322" s="19">
        <f t="shared" si="16"/>
        <v>-7.76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4830</v>
      </c>
      <c r="I324" s="18"/>
      <c r="J324" s="18"/>
      <c r="K324" s="18"/>
      <c r="L324" s="19">
        <f t="shared" si="16"/>
        <v>4830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7980.28</v>
      </c>
      <c r="I325" s="18"/>
      <c r="J325" s="18"/>
      <c r="K325" s="18"/>
      <c r="L325" s="19">
        <f t="shared" si="16"/>
        <v>7980.28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463322.04</v>
      </c>
      <c r="G328" s="42">
        <f t="shared" si="17"/>
        <v>212918.98</v>
      </c>
      <c r="H328" s="42">
        <f t="shared" si="17"/>
        <v>137818.78</v>
      </c>
      <c r="I328" s="42">
        <f t="shared" si="17"/>
        <v>105590.30000000002</v>
      </c>
      <c r="J328" s="42">
        <f t="shared" si="17"/>
        <v>55131.649999999994</v>
      </c>
      <c r="K328" s="42">
        <f t="shared" si="17"/>
        <v>6440.65</v>
      </c>
      <c r="L328" s="41">
        <f t="shared" si="17"/>
        <v>981222.40000000002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12001.98</v>
      </c>
      <c r="I332" s="18"/>
      <c r="J332" s="18"/>
      <c r="K332" s="18"/>
      <c r="L332" s="19">
        <f t="shared" ref="L332:L337" si="18">SUM(F332:K332)</f>
        <v>12001.98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202346</v>
      </c>
      <c r="G333" s="18">
        <v>22045.54</v>
      </c>
      <c r="H333" s="18">
        <v>28967.200000000001</v>
      </c>
      <c r="I333" s="18">
        <v>18415.22</v>
      </c>
      <c r="J333" s="18"/>
      <c r="K333" s="18">
        <v>130</v>
      </c>
      <c r="L333" s="19">
        <f t="shared" si="18"/>
        <v>271903.96000000002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202346</v>
      </c>
      <c r="G337" s="41">
        <f t="shared" si="19"/>
        <v>22045.54</v>
      </c>
      <c r="H337" s="41">
        <f t="shared" si="19"/>
        <v>40969.18</v>
      </c>
      <c r="I337" s="41">
        <f t="shared" si="19"/>
        <v>18415.22</v>
      </c>
      <c r="J337" s="41">
        <f t="shared" si="19"/>
        <v>0</v>
      </c>
      <c r="K337" s="41">
        <f t="shared" si="19"/>
        <v>130</v>
      </c>
      <c r="L337" s="41">
        <f t="shared" si="18"/>
        <v>283905.94000000006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1871385.06</v>
      </c>
      <c r="G338" s="41">
        <f t="shared" si="20"/>
        <v>631344.97</v>
      </c>
      <c r="H338" s="41">
        <f t="shared" si="20"/>
        <v>475890.61999999994</v>
      </c>
      <c r="I338" s="41">
        <f t="shared" si="20"/>
        <v>269069.38</v>
      </c>
      <c r="J338" s="41">
        <f t="shared" si="20"/>
        <v>99443.97</v>
      </c>
      <c r="K338" s="41">
        <f t="shared" si="20"/>
        <v>6659.4</v>
      </c>
      <c r="L338" s="41">
        <f t="shared" si="20"/>
        <v>3353793.3999999994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786.77</v>
      </c>
      <c r="L350" s="19">
        <f t="shared" si="21"/>
        <v>786.77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786.77</v>
      </c>
      <c r="L351" s="41">
        <f>SUM(L341:L350)</f>
        <v>786.77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1871385.06</v>
      </c>
      <c r="G352" s="41">
        <f>G338</f>
        <v>631344.97</v>
      </c>
      <c r="H352" s="41">
        <f>H338</f>
        <v>475890.61999999994</v>
      </c>
      <c r="I352" s="41">
        <f>I338</f>
        <v>269069.38</v>
      </c>
      <c r="J352" s="41">
        <f>J338</f>
        <v>99443.97</v>
      </c>
      <c r="K352" s="47">
        <f>K338+K351</f>
        <v>7446.17</v>
      </c>
      <c r="L352" s="41">
        <f>L338+L351</f>
        <v>3354580.1699999995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185442.29</v>
      </c>
      <c r="G358" s="18">
        <v>53405.64</v>
      </c>
      <c r="H358" s="18">
        <v>13988.37</v>
      </c>
      <c r="I358" s="18">
        <v>257141.61</v>
      </c>
      <c r="J358" s="18">
        <v>5486.89</v>
      </c>
      <c r="K358" s="18"/>
      <c r="L358" s="13">
        <f>SUM(F358:K358)</f>
        <v>515464.8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129533.53</v>
      </c>
      <c r="G359" s="18">
        <v>40375.86</v>
      </c>
      <c r="H359" s="18">
        <v>4424.95</v>
      </c>
      <c r="I359" s="18">
        <v>144052.73000000001</v>
      </c>
      <c r="J359" s="18">
        <v>553.33000000000004</v>
      </c>
      <c r="K359" s="18"/>
      <c r="L359" s="19">
        <f>SUM(F359:K359)</f>
        <v>318940.40000000008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102271.15</v>
      </c>
      <c r="G360" s="18">
        <v>30607.81</v>
      </c>
      <c r="H360" s="18">
        <v>8145.84</v>
      </c>
      <c r="I360" s="18">
        <v>156241.79</v>
      </c>
      <c r="J360" s="18">
        <v>2950.93</v>
      </c>
      <c r="K360" s="18"/>
      <c r="L360" s="19">
        <f>SUM(F360:K360)</f>
        <v>300217.51999999996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417246.97</v>
      </c>
      <c r="G362" s="47">
        <f t="shared" si="22"/>
        <v>124389.31</v>
      </c>
      <c r="H362" s="47">
        <f t="shared" si="22"/>
        <v>26559.16</v>
      </c>
      <c r="I362" s="47">
        <f t="shared" si="22"/>
        <v>557436.13</v>
      </c>
      <c r="J362" s="47">
        <f t="shared" si="22"/>
        <v>8991.15</v>
      </c>
      <c r="K362" s="47">
        <f t="shared" si="22"/>
        <v>0</v>
      </c>
      <c r="L362" s="47">
        <f t="shared" si="22"/>
        <v>1134622.72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119501.12+60584.39+57796.3</f>
        <v>237881.81</v>
      </c>
      <c r="G367" s="18">
        <v>130693.31</v>
      </c>
      <c r="H367" s="18">
        <v>142814.39999999999</v>
      </c>
      <c r="I367" s="56">
        <f>SUM(F367:H367)</f>
        <v>511389.52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9520.13+4310.86+5428.81</f>
        <v>19259.8</v>
      </c>
      <c r="G368" s="63">
        <v>13359.42</v>
      </c>
      <c r="H368" s="63">
        <v>13427.39</v>
      </c>
      <c r="I368" s="56">
        <f>SUM(F368:H368)</f>
        <v>46046.61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257141.61</v>
      </c>
      <c r="G369" s="47">
        <f>SUM(G367:G368)</f>
        <v>144052.73000000001</v>
      </c>
      <c r="H369" s="47">
        <f>SUM(H367:H368)</f>
        <v>156241.78999999998</v>
      </c>
      <c r="I369" s="47">
        <f>SUM(I367:I368)</f>
        <v>557436.13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30324876.75</v>
      </c>
      <c r="G468" s="18">
        <v>1134622.72</v>
      </c>
      <c r="H468" s="18">
        <v>3354580.17</v>
      </c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30324876.75</v>
      </c>
      <c r="G470" s="53">
        <f>SUM(G468:G469)</f>
        <v>1134622.72</v>
      </c>
      <c r="H470" s="53">
        <f>SUM(H468:H469)</f>
        <v>3354580.17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30324876.75</v>
      </c>
      <c r="G472" s="18">
        <v>1134622.72</v>
      </c>
      <c r="H472" s="18">
        <v>3354580.17</v>
      </c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30324876.75</v>
      </c>
      <c r="G474" s="53">
        <f>SUM(G472:G473)</f>
        <v>1134622.72</v>
      </c>
      <c r="H474" s="53">
        <f>SUM(H472:H473)</f>
        <v>3354580.17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1258378.26-F531+F277</f>
        <v>1363507.7</v>
      </c>
      <c r="G521" s="18">
        <f>G277+661373.98-(G531)</f>
        <v>698165.39999999991</v>
      </c>
      <c r="H521" s="18">
        <f>G277+654442.68-H531</f>
        <v>728406.54</v>
      </c>
      <c r="I521" s="18">
        <f>I277+3100.9</f>
        <v>5417.16</v>
      </c>
      <c r="J521" s="18">
        <f>J277+260.05</f>
        <v>1572.46</v>
      </c>
      <c r="K521" s="18"/>
      <c r="L521" s="88">
        <f>SUM(F521:K521)</f>
        <v>2797069.26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747081-F532+F296</f>
        <v>764699.63</v>
      </c>
      <c r="G522" s="18">
        <f>G296+391233.8-G532</f>
        <v>391269</v>
      </c>
      <c r="H522" s="18">
        <f>H296+312700.13-H532</f>
        <v>314673.34999999998</v>
      </c>
      <c r="I522" s="18">
        <f>I296+7076.24</f>
        <v>8259.01</v>
      </c>
      <c r="J522" s="18">
        <f>J296+0</f>
        <v>658.25</v>
      </c>
      <c r="K522" s="18"/>
      <c r="L522" s="88">
        <f>SUM(F522:K522)</f>
        <v>1479559.24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644341.4-F533+F315</f>
        <v>686606.97</v>
      </c>
      <c r="G523" s="18">
        <f>G315+339135.33-G533</f>
        <v>347595.05</v>
      </c>
      <c r="H523" s="18">
        <f>H315+277634.75-H533</f>
        <v>280258.64</v>
      </c>
      <c r="I523" s="18">
        <f>I315+2577.1</f>
        <v>4063.63</v>
      </c>
      <c r="J523" s="18">
        <f>J315+2358</f>
        <v>3130.04</v>
      </c>
      <c r="K523" s="18"/>
      <c r="L523" s="88">
        <f>SUM(F523:K523)</f>
        <v>1321654.33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2814814.3</v>
      </c>
      <c r="G524" s="108">
        <f t="shared" ref="G524:L524" si="36">SUM(G521:G523)</f>
        <v>1437029.45</v>
      </c>
      <c r="H524" s="108">
        <f t="shared" si="36"/>
        <v>1323338.53</v>
      </c>
      <c r="I524" s="108">
        <f t="shared" si="36"/>
        <v>17739.8</v>
      </c>
      <c r="J524" s="108">
        <f t="shared" si="36"/>
        <v>5360.75</v>
      </c>
      <c r="K524" s="108">
        <f t="shared" si="36"/>
        <v>0</v>
      </c>
      <c r="L524" s="89">
        <f t="shared" si="36"/>
        <v>5598282.8300000001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232328.55</v>
      </c>
      <c r="G526" s="18">
        <f>F526*0.52</f>
        <v>120810.84600000001</v>
      </c>
      <c r="H526" s="18">
        <v>76293.5</v>
      </c>
      <c r="I526" s="18">
        <v>2260.6799999999998</v>
      </c>
      <c r="J526" s="18"/>
      <c r="K526" s="18"/>
      <c r="L526" s="88">
        <f>SUM(F526:K526)</f>
        <v>431693.576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38460</v>
      </c>
      <c r="G527" s="18">
        <f>F527*0.52</f>
        <v>19999.2</v>
      </c>
      <c r="H527" s="18">
        <v>36981.120000000003</v>
      </c>
      <c r="I527" s="18">
        <v>939.49</v>
      </c>
      <c r="J527" s="18"/>
      <c r="K527" s="18"/>
      <c r="L527" s="88">
        <f>SUM(F527:K527)</f>
        <v>96379.810000000012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25819.58</v>
      </c>
      <c r="G528" s="18">
        <f>F528*0.52</f>
        <v>13426.181600000002</v>
      </c>
      <c r="H528" s="18">
        <v>36981.120000000003</v>
      </c>
      <c r="I528" s="18">
        <v>1035.42</v>
      </c>
      <c r="J528" s="18"/>
      <c r="K528" s="18"/>
      <c r="L528" s="88">
        <f>SUM(F528:K528)</f>
        <v>77262.301600000006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296608.13</v>
      </c>
      <c r="G529" s="89">
        <f t="shared" ref="G529:L529" si="37">SUM(G526:G528)</f>
        <v>154236.22760000001</v>
      </c>
      <c r="H529" s="89">
        <f t="shared" si="37"/>
        <v>150255.74</v>
      </c>
      <c r="I529" s="89">
        <f t="shared" si="37"/>
        <v>4235.59</v>
      </c>
      <c r="J529" s="89">
        <f t="shared" si="37"/>
        <v>0</v>
      </c>
      <c r="K529" s="89">
        <f t="shared" si="37"/>
        <v>0</v>
      </c>
      <c r="L529" s="89">
        <f t="shared" si="37"/>
        <v>605335.68760000006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73697</v>
      </c>
      <c r="G531" s="18">
        <f>F531*0.52</f>
        <v>38322.44</v>
      </c>
      <c r="H531" s="18">
        <v>1150</v>
      </c>
      <c r="I531" s="18"/>
      <c r="J531" s="18"/>
      <c r="K531" s="18">
        <v>219</v>
      </c>
      <c r="L531" s="88">
        <f>SUM(F531:K531)</f>
        <v>113388.44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73697</v>
      </c>
      <c r="G532" s="18">
        <f>F532*0.52</f>
        <v>38322.44</v>
      </c>
      <c r="H532" s="18">
        <v>1150</v>
      </c>
      <c r="I532" s="18"/>
      <c r="J532" s="18"/>
      <c r="K532" s="18">
        <v>680</v>
      </c>
      <c r="L532" s="88">
        <f>SUM(F532:K532)</f>
        <v>113849.44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73697</v>
      </c>
      <c r="G533" s="18">
        <f>F533*0.52</f>
        <v>38322.44</v>
      </c>
      <c r="H533" s="18">
        <v>1150</v>
      </c>
      <c r="I533" s="18"/>
      <c r="J533" s="18"/>
      <c r="K533" s="18">
        <v>700</v>
      </c>
      <c r="L533" s="88">
        <f>SUM(F533:K533)</f>
        <v>113869.44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221091</v>
      </c>
      <c r="G534" s="89">
        <f t="shared" ref="G534:L534" si="38">SUM(G531:G533)</f>
        <v>114967.32</v>
      </c>
      <c r="H534" s="89">
        <f t="shared" si="38"/>
        <v>3450</v>
      </c>
      <c r="I534" s="89">
        <f t="shared" si="38"/>
        <v>0</v>
      </c>
      <c r="J534" s="89">
        <f t="shared" si="38"/>
        <v>0</v>
      </c>
      <c r="K534" s="89">
        <f t="shared" si="38"/>
        <v>1599</v>
      </c>
      <c r="L534" s="89">
        <f t="shared" si="38"/>
        <v>341107.32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87752.38</v>
      </c>
      <c r="I541" s="18"/>
      <c r="J541" s="18"/>
      <c r="K541" s="18"/>
      <c r="L541" s="88">
        <f>SUM(F541:K541)</f>
        <v>87752.38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50454.26</v>
      </c>
      <c r="I542" s="18"/>
      <c r="J542" s="18"/>
      <c r="K542" s="18"/>
      <c r="L542" s="88">
        <f>SUM(F542:K542)</f>
        <v>50454.26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71593.69</v>
      </c>
      <c r="I543" s="18"/>
      <c r="J543" s="18"/>
      <c r="K543" s="18"/>
      <c r="L543" s="88">
        <f>SUM(F543:K543)</f>
        <v>71593.69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209800.33000000002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209800.33000000002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3332513.4299999997</v>
      </c>
      <c r="G545" s="89">
        <f t="shared" ref="G545:L545" si="41">G524+G529+G534+G539+G544</f>
        <v>1706232.9976000001</v>
      </c>
      <c r="H545" s="89">
        <f t="shared" si="41"/>
        <v>1686844.6</v>
      </c>
      <c r="I545" s="89">
        <f t="shared" si="41"/>
        <v>21975.39</v>
      </c>
      <c r="J545" s="89">
        <f t="shared" si="41"/>
        <v>5360.75</v>
      </c>
      <c r="K545" s="89">
        <f t="shared" si="41"/>
        <v>1599</v>
      </c>
      <c r="L545" s="89">
        <f t="shared" si="41"/>
        <v>6754526.1676000003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2797069.26</v>
      </c>
      <c r="G549" s="87">
        <f>L526</f>
        <v>431693.576</v>
      </c>
      <c r="H549" s="87">
        <f>L531</f>
        <v>113388.44</v>
      </c>
      <c r="I549" s="87">
        <f>L536</f>
        <v>0</v>
      </c>
      <c r="J549" s="87">
        <f>L541</f>
        <v>87752.38</v>
      </c>
      <c r="K549" s="87">
        <f>SUM(F549:J549)</f>
        <v>3429903.6559999995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1479559.24</v>
      </c>
      <c r="G550" s="87">
        <f>L527</f>
        <v>96379.810000000012</v>
      </c>
      <c r="H550" s="87">
        <f>L532</f>
        <v>113849.44</v>
      </c>
      <c r="I550" s="87">
        <f>L537</f>
        <v>0</v>
      </c>
      <c r="J550" s="87">
        <f>L542</f>
        <v>50454.26</v>
      </c>
      <c r="K550" s="87">
        <f>SUM(F550:J550)</f>
        <v>1740242.75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1321654.33</v>
      </c>
      <c r="G551" s="87">
        <f>L528</f>
        <v>77262.301600000006</v>
      </c>
      <c r="H551" s="87">
        <f>L533</f>
        <v>113869.44</v>
      </c>
      <c r="I551" s="87">
        <f>L538</f>
        <v>0</v>
      </c>
      <c r="J551" s="87">
        <f>L543</f>
        <v>71593.69</v>
      </c>
      <c r="K551" s="87">
        <f>SUM(F551:J551)</f>
        <v>1584379.7615999999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5598282.8300000001</v>
      </c>
      <c r="G552" s="89">
        <f t="shared" si="42"/>
        <v>605335.68760000006</v>
      </c>
      <c r="H552" s="89">
        <f t="shared" si="42"/>
        <v>341107.32</v>
      </c>
      <c r="I552" s="89">
        <f t="shared" si="42"/>
        <v>0</v>
      </c>
      <c r="J552" s="89">
        <f t="shared" si="42"/>
        <v>209800.33000000002</v>
      </c>
      <c r="K552" s="89">
        <f t="shared" si="42"/>
        <v>6754526.1675999993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32246.04</v>
      </c>
      <c r="G579" s="18">
        <v>0</v>
      </c>
      <c r="H579" s="18">
        <v>17861.11</v>
      </c>
      <c r="I579" s="87">
        <f t="shared" si="47"/>
        <v>50107.15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259431.31</v>
      </c>
      <c r="H582" s="18">
        <v>162721.75</v>
      </c>
      <c r="I582" s="87">
        <f t="shared" si="47"/>
        <v>422153.06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174377.52+2107.41</f>
        <v>176484.93</v>
      </c>
      <c r="I591" s="18">
        <f>89043.84+1076.13</f>
        <v>90119.97</v>
      </c>
      <c r="J591" s="18">
        <f>107594.64+1300.32</f>
        <v>108894.96</v>
      </c>
      <c r="K591" s="104">
        <f t="shared" ref="K591:K597" si="48">SUM(H591:J591)</f>
        <v>375499.86000000004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81070.13+6682.25</f>
        <v>87752.38</v>
      </c>
      <c r="I592" s="18">
        <f>41397.51+9056.75</f>
        <v>50454.26</v>
      </c>
      <c r="J592" s="18">
        <f>50022+20536.27</f>
        <v>70558.27</v>
      </c>
      <c r="K592" s="104">
        <f t="shared" si="48"/>
        <v>208764.91000000003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2736.08</v>
      </c>
      <c r="K593" s="104">
        <f t="shared" si="48"/>
        <v>2736.08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14555.85</v>
      </c>
      <c r="J594" s="18">
        <v>50402.45</v>
      </c>
      <c r="K594" s="104">
        <f t="shared" si="48"/>
        <v>64958.299999999996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300</v>
      </c>
      <c r="I595" s="18">
        <v>2684.14</v>
      </c>
      <c r="J595" s="18">
        <v>2893.01</v>
      </c>
      <c r="K595" s="104">
        <f t="shared" si="48"/>
        <v>5877.15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264537.31</v>
      </c>
      <c r="I598" s="108">
        <f>SUM(I591:I597)</f>
        <v>157814.22000000003</v>
      </c>
      <c r="J598" s="108">
        <f>SUM(J591:J597)</f>
        <v>235484.77000000002</v>
      </c>
      <c r="K598" s="108">
        <f>SUM(K591:K597)</f>
        <v>657836.30000000005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58661.04+34225.08</f>
        <v>92886.12</v>
      </c>
      <c r="I604" s="18">
        <f>58863.83+10087.24</f>
        <v>68951.070000000007</v>
      </c>
      <c r="J604" s="18">
        <f>62530.44+55131.65+2000</f>
        <v>119662.09</v>
      </c>
      <c r="K604" s="104">
        <f>SUM(H604:J604)</f>
        <v>281499.28000000003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92886.12</v>
      </c>
      <c r="I605" s="108">
        <f>SUM(I602:I604)</f>
        <v>68951.070000000007</v>
      </c>
      <c r="J605" s="108">
        <f>SUM(J602:J604)</f>
        <v>119662.09</v>
      </c>
      <c r="K605" s="108">
        <f>SUM(K602:K604)</f>
        <v>281499.28000000003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2702.5+5640.4+26187.05</f>
        <v>34529.949999999997</v>
      </c>
      <c r="G611" s="18">
        <f>F611*0.52</f>
        <v>17955.574000000001</v>
      </c>
      <c r="H611" s="18">
        <v>11957.64</v>
      </c>
      <c r="I611" s="18">
        <v>413.52</v>
      </c>
      <c r="J611" s="18"/>
      <c r="K611" s="18"/>
      <c r="L611" s="88">
        <f>SUM(F611:K611)</f>
        <v>64856.683999999994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1380+2880.21+13372.11</f>
        <v>17632.32</v>
      </c>
      <c r="G612" s="18">
        <f>F612*0.52</f>
        <v>9168.8063999999995</v>
      </c>
      <c r="H612" s="18">
        <v>6106.03</v>
      </c>
      <c r="I612" s="18">
        <v>211.16</v>
      </c>
      <c r="J612" s="18"/>
      <c r="K612" s="18"/>
      <c r="L612" s="88">
        <f>SUM(F612:K612)</f>
        <v>33118.316400000003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1667.5+3480.25+16157.97</f>
        <v>21305.72</v>
      </c>
      <c r="G613" s="18">
        <f>F613*0.52</f>
        <v>11078.974400000001</v>
      </c>
      <c r="H613" s="18">
        <v>7378.12</v>
      </c>
      <c r="I613" s="18">
        <v>255.15</v>
      </c>
      <c r="J613" s="18"/>
      <c r="K613" s="18"/>
      <c r="L613" s="88">
        <f>SUM(F613:K613)</f>
        <v>40017.964400000004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73467.989999999991</v>
      </c>
      <c r="G614" s="108">
        <f t="shared" si="49"/>
        <v>38203.354800000001</v>
      </c>
      <c r="H614" s="108">
        <f t="shared" si="49"/>
        <v>25441.789999999997</v>
      </c>
      <c r="I614" s="108">
        <f t="shared" si="49"/>
        <v>879.82999999999993</v>
      </c>
      <c r="J614" s="108">
        <f t="shared" si="49"/>
        <v>0</v>
      </c>
      <c r="K614" s="108">
        <f t="shared" si="49"/>
        <v>0</v>
      </c>
      <c r="L614" s="89">
        <f t="shared" si="49"/>
        <v>137992.96479999999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1639735.84</v>
      </c>
      <c r="H617" s="109">
        <f>SUM(F52)</f>
        <v>1639735.8399999999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71825.709999999992</v>
      </c>
      <c r="H618" s="109">
        <f>SUM(G52)</f>
        <v>71825.710000000006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610057.4</v>
      </c>
      <c r="H619" s="109">
        <f>SUM(H52)</f>
        <v>610057.4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30324876.75</v>
      </c>
      <c r="H627" s="104">
        <f>SUM(F468)</f>
        <v>30324876.75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1134622.72</v>
      </c>
      <c r="H628" s="104">
        <f>SUM(G468)</f>
        <v>1134622.72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3354580.17</v>
      </c>
      <c r="H629" s="104">
        <f>SUM(H468)</f>
        <v>3354580.17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30324876.75</v>
      </c>
      <c r="H632" s="104">
        <f>SUM(F472)</f>
        <v>30324876.75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3354580.1699999995</v>
      </c>
      <c r="H633" s="104">
        <f>SUM(H472)</f>
        <v>3354580.17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557436.13</v>
      </c>
      <c r="H634" s="104">
        <f>I369</f>
        <v>557436.13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1134622.72</v>
      </c>
      <c r="H635" s="104">
        <f>SUM(G472)</f>
        <v>1134622.72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657836.30000000005</v>
      </c>
      <c r="H647" s="104">
        <f>L208+L226+L244</f>
        <v>657836.30000000005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281499.28000000003</v>
      </c>
      <c r="H648" s="104">
        <f>(J257+J338)-(J255+J336)</f>
        <v>281499.28000000003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264537.31</v>
      </c>
      <c r="H649" s="104">
        <f>H598</f>
        <v>264537.31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157814.22</v>
      </c>
      <c r="H650" s="104">
        <f>I598</f>
        <v>157814.22000000003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235484.77000000002</v>
      </c>
      <c r="H651" s="104">
        <f>J598</f>
        <v>235484.77000000002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13252629.120000001</v>
      </c>
      <c r="G660" s="19">
        <f>(L229+L309+L359)</f>
        <v>7962826.209999999</v>
      </c>
      <c r="H660" s="19">
        <f>(L247+L328+L360)</f>
        <v>10580022.959999999</v>
      </c>
      <c r="I660" s="19">
        <f>SUM(F660:H660)</f>
        <v>31795478.289999999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161632.20920910168</v>
      </c>
      <c r="G661" s="19">
        <f>(L359/IF(SUM(L358:L360)=0,1,SUM(L358:L360))*(SUM(G97:G110)))</f>
        <v>100008.84921343725</v>
      </c>
      <c r="H661" s="19">
        <f>(L360/IF(SUM(L358:L360)=0,1,SUM(L358:L360))*(SUM(G97:G110)))</f>
        <v>94137.991577461085</v>
      </c>
      <c r="I661" s="19">
        <f>SUM(F661:H661)</f>
        <v>355779.05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269245.52999999997</v>
      </c>
      <c r="G662" s="19">
        <f>(L226+L306)-(J226+J306)</f>
        <v>160218.42000000001</v>
      </c>
      <c r="H662" s="19">
        <f>(L244+L325)-(J244+J325)</f>
        <v>243465.05000000002</v>
      </c>
      <c r="I662" s="19">
        <f>SUM(F662:H662)</f>
        <v>672929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189988.84399999998</v>
      </c>
      <c r="G663" s="199">
        <f>SUM(G575:G587)+SUM(I602:I604)+L612</f>
        <v>361500.69640000002</v>
      </c>
      <c r="H663" s="199">
        <f>SUM(H575:H587)+SUM(J602:J604)+L613</f>
        <v>340262.91439999995</v>
      </c>
      <c r="I663" s="19">
        <f>SUM(F663:H663)</f>
        <v>891752.45479999995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12631762.5367909</v>
      </c>
      <c r="G664" s="19">
        <f>G660-SUM(G661:G663)</f>
        <v>7341098.2443865612</v>
      </c>
      <c r="H664" s="19">
        <f>H660-SUM(H661:H663)</f>
        <v>9902157.0040225387</v>
      </c>
      <c r="I664" s="19">
        <f>I660-SUM(I661:I663)</f>
        <v>29875017.7852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949.74</v>
      </c>
      <c r="G665" s="248">
        <v>473.78</v>
      </c>
      <c r="H665" s="248">
        <v>591.89</v>
      </c>
      <c r="I665" s="19">
        <f>SUM(F665:H665)</f>
        <v>2015.4099999999999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13300.23</v>
      </c>
      <c r="G667" s="19">
        <f>ROUND(G664/G665,2)</f>
        <v>15494.74</v>
      </c>
      <c r="H667" s="19">
        <f>ROUND(H664/H665,2)</f>
        <v>16729.73</v>
      </c>
      <c r="I667" s="19">
        <f>ROUND(I664/I665,2)</f>
        <v>14823.3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52.48</v>
      </c>
      <c r="I670" s="19">
        <f>SUM(F670:H670)</f>
        <v>52.48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13300.23</v>
      </c>
      <c r="G672" s="19">
        <f>ROUND((G664+G669)/(G665+G670),2)</f>
        <v>15494.74</v>
      </c>
      <c r="H672" s="19">
        <f>ROUND((H664+H669)/(H665+H670),2)</f>
        <v>15367.19</v>
      </c>
      <c r="I672" s="19">
        <f>ROUND((I664+I669)/(I665+I670),2)</f>
        <v>14447.1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Laconia School District              SAU 30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7789013.1699999999</v>
      </c>
      <c r="C9" s="229">
        <f>'DOE25'!G197+'DOE25'!G215+'DOE25'!G233+'DOE25'!G276+'DOE25'!G295+'DOE25'!G314</f>
        <v>4009543.73</v>
      </c>
    </row>
    <row r="10" spans="1:3" x14ac:dyDescent="0.2">
      <c r="A10" t="s">
        <v>779</v>
      </c>
      <c r="B10" s="240">
        <f>6782193.95+679943.7+99489-0.07</f>
        <v>7561626.5800000001</v>
      </c>
      <c r="C10" s="240">
        <f>C9-(C11+C12)</f>
        <v>3891302.7031999999</v>
      </c>
    </row>
    <row r="11" spans="1:3" x14ac:dyDescent="0.2">
      <c r="A11" t="s">
        <v>780</v>
      </c>
      <c r="B11" s="240">
        <f>51892.55+5573.46</f>
        <v>57466.01</v>
      </c>
      <c r="C11" s="240">
        <f>B11*0.52</f>
        <v>29882.325200000003</v>
      </c>
    </row>
    <row r="12" spans="1:3" x14ac:dyDescent="0.2">
      <c r="A12" t="s">
        <v>781</v>
      </c>
      <c r="B12" s="240">
        <f>89551.95+80368.63</f>
        <v>169920.58000000002</v>
      </c>
      <c r="C12" s="240">
        <f>B12*0.52</f>
        <v>88358.701600000015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7789013.1699999999</v>
      </c>
      <c r="C13" s="231">
        <f>SUM(C10:C12)</f>
        <v>4009543.7299999995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3035905.3</v>
      </c>
      <c r="C18" s="229">
        <f>'DOE25'!G198+'DOE25'!G216+'DOE25'!G234+'DOE25'!G277+'DOE25'!G296+'DOE25'!G315</f>
        <v>1551996.77</v>
      </c>
    </row>
    <row r="19" spans="1:3" x14ac:dyDescent="0.2">
      <c r="A19" t="s">
        <v>779</v>
      </c>
      <c r="B19" s="240">
        <f>1344329.03+385779.64+71626+0.01</f>
        <v>1801734.68</v>
      </c>
      <c r="C19" s="240">
        <f>C18-(C20+C21)</f>
        <v>910228.04759999993</v>
      </c>
    </row>
    <row r="20" spans="1:3" x14ac:dyDescent="0.2">
      <c r="A20" t="s">
        <v>780</v>
      </c>
      <c r="B20" s="240">
        <f>947605.05+324.99+1049.58</f>
        <v>948979.62</v>
      </c>
      <c r="C20" s="240">
        <f>B20*0.52</f>
        <v>493469.40240000002</v>
      </c>
    </row>
    <row r="21" spans="1:3" x14ac:dyDescent="0.2">
      <c r="A21" t="s">
        <v>781</v>
      </c>
      <c r="B21" s="240">
        <f>285191</f>
        <v>285191</v>
      </c>
      <c r="C21" s="240">
        <f>B21*0.52</f>
        <v>148299.32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3035905.3</v>
      </c>
      <c r="C22" s="231">
        <f>SUM(C19:C21)</f>
        <v>1551996.77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933211.45</v>
      </c>
      <c r="C27" s="234">
        <f>'DOE25'!G199+'DOE25'!G217+'DOE25'!G235+'DOE25'!G278+'DOE25'!G297+'DOE25'!G316</f>
        <v>469485.93</v>
      </c>
    </row>
    <row r="28" spans="1:3" x14ac:dyDescent="0.2">
      <c r="A28" t="s">
        <v>779</v>
      </c>
      <c r="B28" s="240">
        <f>639353.4+48449.52+68.85</f>
        <v>687871.77</v>
      </c>
      <c r="C28" s="240">
        <f>C27-(C29+C30)</f>
        <v>341909.29639999999</v>
      </c>
    </row>
    <row r="29" spans="1:3" x14ac:dyDescent="0.2">
      <c r="A29" t="s">
        <v>780</v>
      </c>
      <c r="B29" s="240">
        <f>5512.46</f>
        <v>5512.46</v>
      </c>
      <c r="C29" s="240">
        <f>B29*0.52</f>
        <v>2866.4792000000002</v>
      </c>
    </row>
    <row r="30" spans="1:3" x14ac:dyDescent="0.2">
      <c r="A30" t="s">
        <v>781</v>
      </c>
      <c r="B30" s="240">
        <f>239827.22</f>
        <v>239827.22</v>
      </c>
      <c r="C30" s="240">
        <f>B30*0.52</f>
        <v>124710.1544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933211.45</v>
      </c>
      <c r="C31" s="231">
        <f>SUM(C28:C30)</f>
        <v>469485.93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514830.12</v>
      </c>
      <c r="C36" s="235">
        <f>'DOE25'!G200+'DOE25'!G218+'DOE25'!G236+'DOE25'!G279+'DOE25'!G298+'DOE25'!G317</f>
        <v>137899.75999999998</v>
      </c>
    </row>
    <row r="37" spans="1:3" x14ac:dyDescent="0.2">
      <c r="A37" t="s">
        <v>779</v>
      </c>
      <c r="B37" s="240">
        <f>218797.32+296032.8</f>
        <v>514830.12</v>
      </c>
      <c r="C37" s="240">
        <f>C36-(C38+C39)</f>
        <v>137899.75999999998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514830.12</v>
      </c>
      <c r="C40" s="231">
        <f>SUM(C37:C39)</f>
        <v>137899.75999999998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14" sqref="B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Laconia School District              SAU 30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18333628.27</v>
      </c>
      <c r="D5" s="20">
        <f>SUM('DOE25'!L197:L200)+SUM('DOE25'!L215:L218)+SUM('DOE25'!L233:L236)-F5-G5</f>
        <v>18273487.870000001</v>
      </c>
      <c r="E5" s="243"/>
      <c r="F5" s="255">
        <f>SUM('DOE25'!J197:J200)+SUM('DOE25'!J215:J218)+SUM('DOE25'!J233:J236)</f>
        <v>58541.4</v>
      </c>
      <c r="G5" s="53">
        <f>SUM('DOE25'!K197:K200)+SUM('DOE25'!K215:K218)+SUM('DOE25'!K233:K236)</f>
        <v>1599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1792020.26</v>
      </c>
      <c r="D6" s="20">
        <f>'DOE25'!L202+'DOE25'!L220+'DOE25'!L238-F6-G6</f>
        <v>1791900.26</v>
      </c>
      <c r="E6" s="243"/>
      <c r="F6" s="255">
        <f>'DOE25'!J202+'DOE25'!J220+'DOE25'!J238</f>
        <v>0</v>
      </c>
      <c r="G6" s="53">
        <f>'DOE25'!K202+'DOE25'!K220+'DOE25'!K238</f>
        <v>120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1189547.69</v>
      </c>
      <c r="D7" s="20">
        <f>'DOE25'!L203+'DOE25'!L221+'DOE25'!L239-F7-G7</f>
        <v>1086570.0699999998</v>
      </c>
      <c r="E7" s="243"/>
      <c r="F7" s="255">
        <f>'DOE25'!J203+'DOE25'!J221+'DOE25'!J239</f>
        <v>102977.62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587826.24</v>
      </c>
      <c r="D8" s="243"/>
      <c r="E8" s="20">
        <f>'DOE25'!L204+'DOE25'!L222+'DOE25'!L240-F8-G8-D9-D11</f>
        <v>549066.59</v>
      </c>
      <c r="F8" s="255">
        <f>'DOE25'!J204+'DOE25'!J222+'DOE25'!J240</f>
        <v>0</v>
      </c>
      <c r="G8" s="53">
        <f>'DOE25'!K204+'DOE25'!K222+'DOE25'!K240</f>
        <v>38759.649999999994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36469.15</v>
      </c>
      <c r="D9" s="244">
        <v>36469.15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20000</v>
      </c>
      <c r="D10" s="243"/>
      <c r="E10" s="244">
        <v>20000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374498.13</v>
      </c>
      <c r="D11" s="244">
        <v>374498.13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1612880.84</v>
      </c>
      <c r="D12" s="20">
        <f>'DOE25'!L205+'DOE25'!L223+'DOE25'!L241-F12-G12</f>
        <v>1602189.9200000002</v>
      </c>
      <c r="E12" s="243"/>
      <c r="F12" s="255">
        <f>'DOE25'!J205+'DOE25'!J223+'DOE25'!J241</f>
        <v>0</v>
      </c>
      <c r="G12" s="53">
        <f>'DOE25'!K205+'DOE25'!K223+'DOE25'!K241</f>
        <v>10690.92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447515.12</v>
      </c>
      <c r="D13" s="243"/>
      <c r="E13" s="20">
        <f>'DOE25'!L206+'DOE25'!L224+'DOE25'!L242-F13-G13</f>
        <v>446292.29</v>
      </c>
      <c r="F13" s="255">
        <f>'DOE25'!J206+'DOE25'!J224+'DOE25'!J242</f>
        <v>1222.83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2558746.1100000003</v>
      </c>
      <c r="D14" s="20">
        <f>'DOE25'!L207+'DOE25'!L225+'DOE25'!L243-F14-G14</f>
        <v>2541432.6500000004</v>
      </c>
      <c r="E14" s="243"/>
      <c r="F14" s="255">
        <f>'DOE25'!J207+'DOE25'!J225+'DOE25'!J243</f>
        <v>17313.46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657836.30000000005</v>
      </c>
      <c r="D15" s="20">
        <f>'DOE25'!L208+'DOE25'!L226+'DOE25'!L244-F15-G15</f>
        <v>657836.30000000005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255301.38999999998</v>
      </c>
      <c r="D17" s="20">
        <f>'DOE25'!L251-F17-G17</f>
        <v>250571.38999999998</v>
      </c>
      <c r="E17" s="243"/>
      <c r="F17" s="255">
        <f>'DOE25'!J251</f>
        <v>2000</v>
      </c>
      <c r="G17" s="53">
        <f>'DOE25'!K251</f>
        <v>2730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2478607.25</v>
      </c>
      <c r="D25" s="243"/>
      <c r="E25" s="243"/>
      <c r="F25" s="258"/>
      <c r="G25" s="256"/>
      <c r="H25" s="257">
        <f>'DOE25'!L260+'DOE25'!L261+'DOE25'!L341+'DOE25'!L342</f>
        <v>2478607.25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623233.19999999995</v>
      </c>
      <c r="D29" s="20">
        <f>'DOE25'!L358+'DOE25'!L359+'DOE25'!L360-'DOE25'!I367-F29-G29</f>
        <v>614242.04999999993</v>
      </c>
      <c r="E29" s="243"/>
      <c r="F29" s="255">
        <f>'DOE25'!J358+'DOE25'!J359+'DOE25'!J360</f>
        <v>8991.15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3341791.4199999995</v>
      </c>
      <c r="D31" s="20">
        <f>'DOE25'!L290+'DOE25'!L309+'DOE25'!L328+'DOE25'!L333+'DOE25'!L334+'DOE25'!L335-F31-G31</f>
        <v>3235688.0499999993</v>
      </c>
      <c r="E31" s="243"/>
      <c r="F31" s="255">
        <f>'DOE25'!J290+'DOE25'!J309+'DOE25'!J328+'DOE25'!J333+'DOE25'!J334+'DOE25'!J335</f>
        <v>99443.97</v>
      </c>
      <c r="G31" s="53">
        <f>'DOE25'!K290+'DOE25'!K309+'DOE25'!K328+'DOE25'!K333+'DOE25'!K334+'DOE25'!K335</f>
        <v>6659.4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30464885.840000007</v>
      </c>
      <c r="E33" s="246">
        <f>SUM(E5:E31)</f>
        <v>1015358.8799999999</v>
      </c>
      <c r="F33" s="246">
        <f>SUM(F5:F31)</f>
        <v>290490.42999999993</v>
      </c>
      <c r="G33" s="246">
        <f>SUM(G5:G31)</f>
        <v>60558.969999999994</v>
      </c>
      <c r="H33" s="246">
        <f>SUM(H5:H31)</f>
        <v>2478607.25</v>
      </c>
    </row>
    <row r="35" spans="2:8" ht="12" thickBot="1" x14ac:dyDescent="0.25">
      <c r="B35" s="253" t="s">
        <v>847</v>
      </c>
      <c r="D35" s="254">
        <f>E33</f>
        <v>1015358.8799999999</v>
      </c>
      <c r="E35" s="249"/>
    </row>
    <row r="36" spans="2:8" ht="12" thickTop="1" x14ac:dyDescent="0.2">
      <c r="B36" t="s">
        <v>815</v>
      </c>
      <c r="D36" s="20">
        <f>D33</f>
        <v>30464885.840000007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128" activePane="bottomLeft" state="frozen"/>
      <selection activeCell="F46" sqref="F46"/>
      <selection pane="bottomLeft" activeCell="I148" sqref="I1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School District              SAU 30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1716.28</v>
      </c>
      <c r="D8" s="95">
        <f>'DOE25'!G9</f>
        <v>1900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806010.74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516496.28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261485.51</v>
      </c>
      <c r="D12" s="95">
        <f>'DOE25'!G13</f>
        <v>41893.71</v>
      </c>
      <c r="E12" s="95">
        <f>'DOE25'!H13</f>
        <v>580047.53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5056.53</v>
      </c>
      <c r="D13" s="95">
        <f>'DOE25'!G14</f>
        <v>0</v>
      </c>
      <c r="E13" s="95">
        <f>'DOE25'!H14</f>
        <v>29770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28032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38970.5</v>
      </c>
      <c r="D16" s="95">
        <f>'DOE25'!G17</f>
        <v>0</v>
      </c>
      <c r="E16" s="95">
        <f>'DOE25'!H17</f>
        <v>239.87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1639735.84</v>
      </c>
      <c r="D18" s="41">
        <f>SUM(D8:D17)</f>
        <v>71825.709999999992</v>
      </c>
      <c r="E18" s="41">
        <f>SUM(E8:E17)</f>
        <v>610057.4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60833.08</v>
      </c>
      <c r="E21" s="95">
        <f>'DOE25'!H22</f>
        <v>455663.2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1260704.98</v>
      </c>
      <c r="D23" s="95">
        <f>'DOE25'!G24</f>
        <v>2513.89</v>
      </c>
      <c r="E23" s="95">
        <f>'DOE25'!H24</f>
        <v>40548.620000000003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45469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72.47</v>
      </c>
      <c r="D29" s="95">
        <f>'DOE25'!G30</f>
        <v>0</v>
      </c>
      <c r="E29" s="95">
        <f>'DOE25'!H30</f>
        <v>113845.58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333489.39</v>
      </c>
      <c r="D30" s="95">
        <f>'DOE25'!G31</f>
        <v>8478.74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1639735.8399999999</v>
      </c>
      <c r="D31" s="41">
        <f>SUM(D21:D30)</f>
        <v>71825.710000000006</v>
      </c>
      <c r="E31" s="41">
        <f>SUM(E21:E30)</f>
        <v>610057.4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1639735.8399999999</v>
      </c>
      <c r="D51" s="41">
        <f>D50+D31</f>
        <v>71825.710000000006</v>
      </c>
      <c r="E51" s="41">
        <f>E50+E31</f>
        <v>610057.4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17046835.27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543131.41</v>
      </c>
      <c r="D57" s="24" t="s">
        <v>289</v>
      </c>
      <c r="E57" s="95">
        <f>'DOE25'!H79</f>
        <v>145092.29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349487.74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10303.16</v>
      </c>
      <c r="D61" s="95">
        <f>SUM('DOE25'!G98:G110)</f>
        <v>6291.31</v>
      </c>
      <c r="E61" s="95">
        <f>SUM('DOE25'!H98:H110)</f>
        <v>225881.97999999998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553434.57000000007</v>
      </c>
      <c r="D62" s="130">
        <f>SUM(D57:D61)</f>
        <v>355779.05</v>
      </c>
      <c r="E62" s="130">
        <f>SUM(E57:E61)</f>
        <v>370974.27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17600269.84</v>
      </c>
      <c r="D63" s="22">
        <f>D56+D62</f>
        <v>355779.05</v>
      </c>
      <c r="E63" s="22">
        <f>E56+E62</f>
        <v>370974.27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5808930.9000000004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4726415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29290.63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10535345.9</v>
      </c>
      <c r="D70" s="139">
        <f>D69</f>
        <v>29290.63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773934.52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58146.92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865130.15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36181.199999999997</v>
      </c>
      <c r="E77" s="95">
        <f>SUM('DOE25'!H131:H135)</f>
        <v>50501.09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1697211.59</v>
      </c>
      <c r="D78" s="130">
        <f>SUM(D72:D77)</f>
        <v>36181.199999999997</v>
      </c>
      <c r="E78" s="130">
        <f>SUM(E72:E77)</f>
        <v>50501.09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12232557.49</v>
      </c>
      <c r="D81" s="130">
        <f>SUM(D79:D80)+D78+D70</f>
        <v>65471.83</v>
      </c>
      <c r="E81" s="130">
        <f>SUM(E79:E80)+E78+E70</f>
        <v>50501.09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903263.51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491799.42</v>
      </c>
      <c r="D88" s="95">
        <f>SUM('DOE25'!G153:G161)</f>
        <v>713371.84</v>
      </c>
      <c r="E88" s="95">
        <f>SUM('DOE25'!H153:H161)</f>
        <v>2029841.2999999998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491799.42</v>
      </c>
      <c r="D91" s="131">
        <f>SUM(D85:D90)</f>
        <v>713371.84</v>
      </c>
      <c r="E91" s="131">
        <f>SUM(E85:E90)</f>
        <v>2933104.8099999996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250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250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30324876.75</v>
      </c>
      <c r="D104" s="86">
        <f>D63+D81+D91+D103</f>
        <v>1134622.72</v>
      </c>
      <c r="E104" s="86">
        <f>E63+E81+E91+E103</f>
        <v>3354580.1699999995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11186047.24</v>
      </c>
      <c r="D109" s="24" t="s">
        <v>289</v>
      </c>
      <c r="E109" s="95">
        <f>('DOE25'!L276)+('DOE25'!L295)+('DOE25'!L314)</f>
        <v>1547283.8900000001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5303292.5199999996</v>
      </c>
      <c r="D110" s="24" t="s">
        <v>289</v>
      </c>
      <c r="E110" s="95">
        <f>('DOE25'!L277)+('DOE25'!L296)+('DOE25'!L315)</f>
        <v>567099.97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1411606.73</v>
      </c>
      <c r="D111" s="24" t="s">
        <v>289</v>
      </c>
      <c r="E111" s="95">
        <f>('DOE25'!L278)+('DOE25'!L297)+('DOE25'!L316)</f>
        <v>144995.1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432681.78</v>
      </c>
      <c r="D112" s="24" t="s">
        <v>289</v>
      </c>
      <c r="E112" s="95">
        <f>+('DOE25'!L279)+('DOE25'!L298)+('DOE25'!L317)</f>
        <v>423695.17000000004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12001.98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255301.38999999998</v>
      </c>
      <c r="D114" s="24" t="s">
        <v>289</v>
      </c>
      <c r="E114" s="95">
        <f>+ SUM('DOE25'!L333:L335)</f>
        <v>271903.96000000002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18588929.66</v>
      </c>
      <c r="D115" s="86">
        <f>SUM(D109:D114)</f>
        <v>0</v>
      </c>
      <c r="E115" s="86">
        <f>SUM(E109:E114)</f>
        <v>2966980.0700000003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1792020.26</v>
      </c>
      <c r="D118" s="24" t="s">
        <v>289</v>
      </c>
      <c r="E118" s="95">
        <f>+('DOE25'!L281)+('DOE25'!L300)+('DOE25'!L319)</f>
        <v>27936.489999999998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1189547.69</v>
      </c>
      <c r="D119" s="24" t="s">
        <v>289</v>
      </c>
      <c r="E119" s="95">
        <f>+('DOE25'!L282)+('DOE25'!L301)+('DOE25'!L320)</f>
        <v>317680.04000000004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998793.52</v>
      </c>
      <c r="D120" s="24" t="s">
        <v>289</v>
      </c>
      <c r="E120" s="95">
        <f>+('DOE25'!L283)+('DOE25'!L302)+('DOE25'!L321)</f>
        <v>21298.35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1612880.84</v>
      </c>
      <c r="D121" s="24" t="s">
        <v>289</v>
      </c>
      <c r="E121" s="95">
        <f>+('DOE25'!L284)+('DOE25'!L303)+('DOE25'!L322)</f>
        <v>-24.25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447515.12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2558746.1100000003</v>
      </c>
      <c r="D123" s="24" t="s">
        <v>289</v>
      </c>
      <c r="E123" s="95">
        <f>+('DOE25'!L286)+('DOE25'!L305)+('DOE25'!L324)</f>
        <v>4830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657836.30000000005</v>
      </c>
      <c r="D124" s="24" t="s">
        <v>289</v>
      </c>
      <c r="E124" s="95">
        <f>+('DOE25'!L287)+('DOE25'!L306)+('DOE25'!L325)</f>
        <v>15092.7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1134622.72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9257339.8400000017</v>
      </c>
      <c r="D128" s="86">
        <f>SUM(D118:D127)</f>
        <v>1134622.72</v>
      </c>
      <c r="E128" s="86">
        <f>SUM(E118:E127)</f>
        <v>386813.33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1879099.79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599507.46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786.77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2478607.25</v>
      </c>
      <c r="D144" s="141">
        <f>SUM(D130:D143)</f>
        <v>0</v>
      </c>
      <c r="E144" s="141">
        <f>SUM(E130:E143)</f>
        <v>786.77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30324876.75</v>
      </c>
      <c r="D145" s="86">
        <f>(D115+D128+D144)</f>
        <v>1134622.72</v>
      </c>
      <c r="E145" s="86">
        <f>(E115+E128+E144)</f>
        <v>3354580.1700000004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Laconia School District              SAU 30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13300</v>
      </c>
    </row>
    <row r="5" spans="1:4" x14ac:dyDescent="0.2">
      <c r="B5" t="s">
        <v>704</v>
      </c>
      <c r="C5" s="179">
        <f>IF('DOE25'!G665+'DOE25'!G670=0,0,ROUND('DOE25'!G672,0))</f>
        <v>15495</v>
      </c>
    </row>
    <row r="6" spans="1:4" x14ac:dyDescent="0.2">
      <c r="B6" t="s">
        <v>62</v>
      </c>
      <c r="C6" s="179">
        <f>IF('DOE25'!H665+'DOE25'!H670=0,0,ROUND('DOE25'!H672,0))</f>
        <v>15367</v>
      </c>
    </row>
    <row r="7" spans="1:4" x14ac:dyDescent="0.2">
      <c r="B7" t="s">
        <v>705</v>
      </c>
      <c r="C7" s="179">
        <f>IF('DOE25'!I665+'DOE25'!I670=0,0,ROUND('DOE25'!I672,0))</f>
        <v>14447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12733331</v>
      </c>
      <c r="D10" s="182">
        <f>ROUND((C10/$C$28)*100,1)</f>
        <v>39.1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5870392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1556602</v>
      </c>
      <c r="D12" s="182">
        <f>ROUND((C12/$C$28)*100,1)</f>
        <v>4.8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856377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1819957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1507228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1020092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1612857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447515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2563576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672929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12002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527205</v>
      </c>
      <c r="D24" s="182">
        <f t="shared" si="0"/>
        <v>1.6</v>
      </c>
    </row>
    <row r="25" spans="1:4" x14ac:dyDescent="0.2">
      <c r="A25">
        <v>5120</v>
      </c>
      <c r="B25" t="s">
        <v>720</v>
      </c>
      <c r="C25" s="179">
        <f>ROUND('DOE25'!L261+'DOE25'!L342,0)</f>
        <v>599507</v>
      </c>
      <c r="D25" s="182">
        <f t="shared" si="0"/>
        <v>1.8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786.77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778843.95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32579200.719999999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32579200.719999999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1879100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17046835</v>
      </c>
      <c r="D35" s="182">
        <f t="shared" ref="D35:D40" si="1">ROUND((C35/$C$41)*100,1)</f>
        <v>49.5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924409.1099999994</v>
      </c>
      <c r="D36" s="182">
        <f t="shared" si="1"/>
        <v>2.7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10535346</v>
      </c>
      <c r="D37" s="182">
        <f t="shared" si="1"/>
        <v>30.6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1813185</v>
      </c>
      <c r="D38" s="182">
        <f t="shared" si="1"/>
        <v>5.3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4138276</v>
      </c>
      <c r="D39" s="182">
        <f t="shared" si="1"/>
        <v>12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250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34458301.109999999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Laconia School District              SAU 30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5:M75"/>
    <mergeCell ref="C67:M67"/>
    <mergeCell ref="C68:M68"/>
    <mergeCell ref="C69:M69"/>
    <mergeCell ref="C63:M63"/>
    <mergeCell ref="C64:M64"/>
    <mergeCell ref="C65:M65"/>
    <mergeCell ref="C60:M60"/>
    <mergeCell ref="C58:M58"/>
    <mergeCell ref="C62:M62"/>
    <mergeCell ref="C61:M61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3:M53"/>
    <mergeCell ref="C54:M54"/>
    <mergeCell ref="C55:M55"/>
    <mergeCell ref="C32:M32"/>
    <mergeCell ref="C30:M30"/>
    <mergeCell ref="C31:M31"/>
    <mergeCell ref="P31:Z31"/>
    <mergeCell ref="AC31:AM31"/>
    <mergeCell ref="AP31:AZ31"/>
    <mergeCell ref="P32:Z32"/>
    <mergeCell ref="C28:M28"/>
    <mergeCell ref="C39:M39"/>
    <mergeCell ref="C29:M29"/>
    <mergeCell ref="C34:M34"/>
    <mergeCell ref="C35:M35"/>
    <mergeCell ref="C36:M36"/>
    <mergeCell ref="C38:M38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C17:M17"/>
    <mergeCell ref="C18:M18"/>
    <mergeCell ref="C19:M19"/>
    <mergeCell ref="C20:M20"/>
    <mergeCell ref="AP29:AZ29"/>
    <mergeCell ref="C21:M21"/>
    <mergeCell ref="C22:M22"/>
    <mergeCell ref="C23:M23"/>
    <mergeCell ref="C24:M24"/>
    <mergeCell ref="C25:M25"/>
    <mergeCell ref="C26:M26"/>
    <mergeCell ref="C27:M27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EC29:EM29"/>
    <mergeCell ref="EP29:EZ29"/>
    <mergeCell ref="FC29:FM29"/>
    <mergeCell ref="CP29:CZ29"/>
    <mergeCell ref="DP29:DZ29"/>
    <mergeCell ref="DC29:DM29"/>
    <mergeCell ref="BC29:BM29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FC30:FM30"/>
    <mergeCell ref="GC31:GM31"/>
    <mergeCell ref="GP31:GZ31"/>
    <mergeCell ref="HC31:HM31"/>
    <mergeCell ref="IP30:IV30"/>
    <mergeCell ref="AP40:AZ40"/>
    <mergeCell ref="BC31:BM31"/>
    <mergeCell ref="BC32:BM32"/>
    <mergeCell ref="BC39:BM39"/>
    <mergeCell ref="BP31:BZ31"/>
    <mergeCell ref="CC31:CM31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DC30:DM30"/>
    <mergeCell ref="DP30:DZ30"/>
    <mergeCell ref="CC32:CM32"/>
    <mergeCell ref="DC32:DM32"/>
    <mergeCell ref="AC32:AM32"/>
    <mergeCell ref="AP32:AZ32"/>
    <mergeCell ref="BP32:BZ32"/>
    <mergeCell ref="FP30:FZ30"/>
    <mergeCell ref="FC31:FM31"/>
    <mergeCell ref="FP31:FZ31"/>
    <mergeCell ref="CP31:CZ31"/>
    <mergeCell ref="FP32:FZ32"/>
    <mergeCell ref="EC30:EM30"/>
    <mergeCell ref="EP30:EZ30"/>
    <mergeCell ref="DP32:D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HC39:HM39"/>
    <mergeCell ref="DC39:DM39"/>
    <mergeCell ref="DP39:DZ39"/>
    <mergeCell ref="EC39:EM39"/>
    <mergeCell ref="GC39:GM39"/>
    <mergeCell ref="GC32:GM32"/>
    <mergeCell ref="EC32:EM32"/>
    <mergeCell ref="FC32:FM32"/>
    <mergeCell ref="HP39:HZ39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CP38:CZ38"/>
    <mergeCell ref="BC38:BM38"/>
    <mergeCell ref="P39:Z39"/>
    <mergeCell ref="AC39:AM39"/>
    <mergeCell ref="AP39:AZ39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0:M40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2014-10-28T14:52:33Z</cp:lastPrinted>
  <dcterms:created xsi:type="dcterms:W3CDTF">1997-12-04T19:04:30Z</dcterms:created>
  <dcterms:modified xsi:type="dcterms:W3CDTF">2014-12-05T16:17:52Z</dcterms:modified>
</cp:coreProperties>
</file>