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-1245" yWindow="150" windowWidth="23040" windowHeight="92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1" i="1" l="1"/>
  <c r="I591" i="1"/>
  <c r="H591" i="1"/>
  <c r="G244" i="1"/>
  <c r="G226" i="1"/>
  <c r="G208" i="1"/>
  <c r="H208" i="1"/>
  <c r="H244" i="1"/>
  <c r="H226" i="1"/>
  <c r="F244" i="1"/>
  <c r="F226" i="1"/>
  <c r="F208" i="1"/>
  <c r="J592" i="1"/>
  <c r="I592" i="1"/>
  <c r="H592" i="1"/>
  <c r="F468" i="1" l="1"/>
  <c r="F50" i="1"/>
  <c r="F9" i="1"/>
  <c r="F10" i="1"/>
  <c r="D11" i="13" l="1"/>
  <c r="D9" i="13"/>
  <c r="C39" i="12"/>
  <c r="C37" i="12"/>
  <c r="B37" i="12"/>
  <c r="B39" i="12"/>
  <c r="C20" i="12"/>
  <c r="C19" i="12"/>
  <c r="C21" i="12"/>
  <c r="B21" i="12"/>
  <c r="B20" i="12"/>
  <c r="B19" i="12"/>
  <c r="C10" i="12"/>
  <c r="C11" i="12"/>
  <c r="B12" i="12"/>
  <c r="B10" i="12"/>
  <c r="B11" i="12" l="1"/>
  <c r="H543" i="1"/>
  <c r="H542" i="1"/>
  <c r="H541" i="1"/>
  <c r="I521" i="1" l="1"/>
  <c r="H523" i="1"/>
  <c r="H522" i="1"/>
  <c r="H521" i="1"/>
  <c r="G523" i="1"/>
  <c r="G522" i="1"/>
  <c r="G521" i="1"/>
  <c r="F523" i="1"/>
  <c r="F522" i="1"/>
  <c r="F521" i="1"/>
  <c r="H528" i="1" l="1"/>
  <c r="H527" i="1"/>
  <c r="H526" i="1"/>
  <c r="I526" i="1"/>
  <c r="F528" i="1"/>
  <c r="F527" i="1"/>
  <c r="F526" i="1"/>
  <c r="K523" i="1"/>
  <c r="K522" i="1"/>
  <c r="K521" i="1"/>
  <c r="J523" i="1"/>
  <c r="J522" i="1"/>
  <c r="J521" i="1"/>
  <c r="I523" i="1"/>
  <c r="I522" i="1"/>
  <c r="F276" i="1" l="1"/>
  <c r="G472" i="1"/>
  <c r="J96" i="1"/>
  <c r="J465" i="1"/>
  <c r="G459" i="1"/>
  <c r="F459" i="1"/>
  <c r="F440" i="1"/>
  <c r="G440" i="1"/>
  <c r="F197" i="1"/>
  <c r="H240" i="1"/>
  <c r="H222" i="1"/>
  <c r="H204" i="1"/>
  <c r="H239" i="1"/>
  <c r="H221" i="1"/>
  <c r="H203" i="1"/>
  <c r="I239" i="1"/>
  <c r="I221" i="1"/>
  <c r="I203" i="1"/>
  <c r="H379" i="1" l="1"/>
  <c r="I12" i="1"/>
  <c r="F160" i="1"/>
  <c r="F44" i="1"/>
  <c r="J595" i="1" l="1"/>
  <c r="K244" i="1"/>
  <c r="I244" i="1"/>
  <c r="J594" i="1"/>
  <c r="I594" i="1"/>
  <c r="J593" i="1"/>
  <c r="I595" i="1"/>
  <c r="H595" i="1"/>
  <c r="I320" i="1" l="1"/>
  <c r="I301" i="1"/>
  <c r="I282" i="1"/>
  <c r="H320" i="1"/>
  <c r="H301" i="1"/>
  <c r="H282" i="1"/>
  <c r="G320" i="1"/>
  <c r="G301" i="1"/>
  <c r="G282" i="1"/>
  <c r="F282" i="1"/>
  <c r="H315" i="1"/>
  <c r="H277" i="1"/>
  <c r="G315" i="1"/>
  <c r="G296" i="1"/>
  <c r="F315" i="1"/>
  <c r="F296" i="1"/>
  <c r="I314" i="1"/>
  <c r="I295" i="1"/>
  <c r="I276" i="1"/>
  <c r="G277" i="1"/>
  <c r="F325" i="1"/>
  <c r="F306" i="1"/>
  <c r="F287" i="1"/>
  <c r="H333" i="1"/>
  <c r="I277" i="1"/>
  <c r="H296" i="1"/>
  <c r="J315" i="1"/>
  <c r="J296" i="1"/>
  <c r="J277" i="1"/>
  <c r="I315" i="1"/>
  <c r="I296" i="1"/>
  <c r="H281" i="1" l="1"/>
  <c r="F63" i="1" l="1"/>
  <c r="I226" i="1" l="1"/>
  <c r="I208" i="1"/>
  <c r="K240" i="1"/>
  <c r="I240" i="1"/>
  <c r="G240" i="1"/>
  <c r="F240" i="1"/>
  <c r="J240" i="1"/>
  <c r="J239" i="1"/>
  <c r="G239" i="1"/>
  <c r="F239" i="1"/>
  <c r="K222" i="1"/>
  <c r="I222" i="1"/>
  <c r="G222" i="1"/>
  <c r="F222" i="1"/>
  <c r="G221" i="1"/>
  <c r="F221" i="1"/>
  <c r="J221" i="1"/>
  <c r="K204" i="1"/>
  <c r="I204" i="1"/>
  <c r="G204" i="1"/>
  <c r="F204" i="1"/>
  <c r="J203" i="1"/>
  <c r="G203" i="1"/>
  <c r="F203" i="1"/>
  <c r="K238" i="1" l="1"/>
  <c r="J238" i="1"/>
  <c r="I238" i="1"/>
  <c r="H238" i="1"/>
  <c r="G238" i="1"/>
  <c r="F238" i="1"/>
  <c r="I220" i="1"/>
  <c r="H220" i="1"/>
  <c r="G220" i="1"/>
  <c r="F220" i="1"/>
  <c r="I202" i="1"/>
  <c r="H202" i="1"/>
  <c r="G202" i="1"/>
  <c r="F202" i="1"/>
  <c r="G236" i="1"/>
  <c r="F236" i="1"/>
  <c r="G21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E13" i="13" s="1"/>
  <c r="C13" i="13" s="1"/>
  <c r="L224" i="1"/>
  <c r="L242" i="1"/>
  <c r="F16" i="13"/>
  <c r="G16" i="13"/>
  <c r="E16" i="13" s="1"/>
  <c r="C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C18" i="10" s="1"/>
  <c r="F14" i="13"/>
  <c r="G14" i="13"/>
  <c r="L207" i="1"/>
  <c r="L225" i="1"/>
  <c r="C123" i="2" s="1"/>
  <c r="L243" i="1"/>
  <c r="F15" i="13"/>
  <c r="G15" i="13"/>
  <c r="L208" i="1"/>
  <c r="L226" i="1"/>
  <c r="C124" i="2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8" i="1" s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C40" i="10"/>
  <c r="F60" i="1"/>
  <c r="F112" i="1" s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9" i="10"/>
  <c r="L250" i="1"/>
  <c r="L332" i="1"/>
  <c r="L254" i="1"/>
  <c r="L268" i="1"/>
  <c r="C26" i="10" s="1"/>
  <c r="L269" i="1"/>
  <c r="L349" i="1"/>
  <c r="L350" i="1"/>
  <c r="I665" i="1"/>
  <c r="I670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E31" i="2" s="1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E112" i="2"/>
  <c r="C113" i="2"/>
  <c r="E113" i="2"/>
  <c r="C114" i="2"/>
  <c r="D115" i="2"/>
  <c r="F115" i="2"/>
  <c r="G115" i="2"/>
  <c r="E119" i="2"/>
  <c r="E120" i="2"/>
  <c r="E121" i="2"/>
  <c r="C122" i="2"/>
  <c r="E123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H604" i="1" s="1"/>
  <c r="K211" i="1"/>
  <c r="F229" i="1"/>
  <c r="G229" i="1"/>
  <c r="H229" i="1"/>
  <c r="I229" i="1"/>
  <c r="J229" i="1"/>
  <c r="I604" i="1" s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F408" i="1"/>
  <c r="G408" i="1"/>
  <c r="H645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639" i="1" s="1"/>
  <c r="H461" i="1"/>
  <c r="G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H605" i="1"/>
  <c r="I605" i="1"/>
  <c r="F614" i="1"/>
  <c r="G614" i="1"/>
  <c r="H614" i="1"/>
  <c r="I614" i="1"/>
  <c r="J614" i="1"/>
  <c r="K614" i="1"/>
  <c r="G618" i="1"/>
  <c r="G620" i="1"/>
  <c r="G622" i="1"/>
  <c r="G623" i="1"/>
  <c r="G625" i="1"/>
  <c r="H634" i="1"/>
  <c r="H635" i="1"/>
  <c r="G639" i="1"/>
  <c r="G640" i="1"/>
  <c r="G641" i="1"/>
  <c r="H641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D62" i="2"/>
  <c r="D63" i="2" s="1"/>
  <c r="D18" i="2"/>
  <c r="C91" i="2"/>
  <c r="G157" i="2"/>
  <c r="E62" i="2"/>
  <c r="E63" i="2" s="1"/>
  <c r="D19" i="13"/>
  <c r="C19" i="13" s="1"/>
  <c r="E78" i="2"/>
  <c r="H112" i="1"/>
  <c r="J641" i="1"/>
  <c r="K571" i="1"/>
  <c r="I169" i="1"/>
  <c r="H169" i="1"/>
  <c r="J643" i="1"/>
  <c r="J140" i="1"/>
  <c r="K550" i="1"/>
  <c r="H552" i="1"/>
  <c r="H140" i="1"/>
  <c r="L401" i="1"/>
  <c r="C139" i="2" s="1"/>
  <c r="A13" i="12"/>
  <c r="H25" i="13"/>
  <c r="C25" i="13" s="1"/>
  <c r="G192" i="1"/>
  <c r="H192" i="1"/>
  <c r="C35" i="10"/>
  <c r="L570" i="1"/>
  <c r="I571" i="1"/>
  <c r="G36" i="2"/>
  <c r="H647" i="1" l="1"/>
  <c r="A40" i="12"/>
  <c r="J552" i="1"/>
  <c r="H545" i="1"/>
  <c r="G545" i="1"/>
  <c r="J545" i="1"/>
  <c r="G552" i="1"/>
  <c r="K545" i="1"/>
  <c r="I545" i="1"/>
  <c r="F552" i="1"/>
  <c r="L309" i="1"/>
  <c r="F661" i="1"/>
  <c r="D127" i="2"/>
  <c r="D128" i="2" s="1"/>
  <c r="H661" i="1"/>
  <c r="J644" i="1"/>
  <c r="J640" i="1"/>
  <c r="D14" i="13"/>
  <c r="C14" i="13" s="1"/>
  <c r="C120" i="2"/>
  <c r="D7" i="13"/>
  <c r="C7" i="13" s="1"/>
  <c r="C111" i="2"/>
  <c r="E115" i="2"/>
  <c r="K551" i="1"/>
  <c r="F22" i="13"/>
  <c r="C22" i="13" s="1"/>
  <c r="K549" i="1"/>
  <c r="G649" i="1"/>
  <c r="J649" i="1" s="1"/>
  <c r="J634" i="1"/>
  <c r="G624" i="1"/>
  <c r="L539" i="1"/>
  <c r="E137" i="2"/>
  <c r="G661" i="1"/>
  <c r="I661" i="1" s="1"/>
  <c r="C12" i="10"/>
  <c r="G112" i="1"/>
  <c r="C13" i="10"/>
  <c r="E81" i="2"/>
  <c r="D29" i="13"/>
  <c r="C29" i="13" s="1"/>
  <c r="D6" i="13"/>
  <c r="C6" i="13" s="1"/>
  <c r="D15" i="13"/>
  <c r="C15" i="13" s="1"/>
  <c r="L544" i="1"/>
  <c r="L524" i="1"/>
  <c r="J338" i="1"/>
  <c r="J352" i="1" s="1"/>
  <c r="C121" i="2"/>
  <c r="C128" i="2" s="1"/>
  <c r="D81" i="2"/>
  <c r="C132" i="2"/>
  <c r="F663" i="1"/>
  <c r="G62" i="2"/>
  <c r="H663" i="1"/>
  <c r="H33" i="13"/>
  <c r="G645" i="1"/>
  <c r="J645" i="1" s="1"/>
  <c r="L614" i="1"/>
  <c r="L529" i="1"/>
  <c r="K500" i="1"/>
  <c r="J604" i="1"/>
  <c r="G663" i="1"/>
  <c r="G161" i="2"/>
  <c r="E103" i="2"/>
  <c r="C70" i="2"/>
  <c r="D31" i="2"/>
  <c r="D51" i="2" s="1"/>
  <c r="L382" i="1"/>
  <c r="G636" i="1" s="1"/>
  <c r="C18" i="2"/>
  <c r="J617" i="1"/>
  <c r="J639" i="1"/>
  <c r="J651" i="1"/>
  <c r="K598" i="1"/>
  <c r="G647" i="1" s="1"/>
  <c r="F130" i="2"/>
  <c r="F144" i="2" s="1"/>
  <c r="F145" i="2" s="1"/>
  <c r="F18" i="2"/>
  <c r="G164" i="2"/>
  <c r="G81" i="2"/>
  <c r="H338" i="1"/>
  <c r="H352" i="1" s="1"/>
  <c r="G338" i="1"/>
  <c r="G352" i="1" s="1"/>
  <c r="C11" i="10"/>
  <c r="F338" i="1"/>
  <c r="F352" i="1" s="1"/>
  <c r="C17" i="10"/>
  <c r="L290" i="1"/>
  <c r="E118" i="2"/>
  <c r="E128" i="2" s="1"/>
  <c r="K503" i="1"/>
  <c r="C62" i="2"/>
  <c r="C63" i="2" s="1"/>
  <c r="C81" i="2"/>
  <c r="C21" i="10"/>
  <c r="F662" i="1"/>
  <c r="I662" i="1" s="1"/>
  <c r="C20" i="10"/>
  <c r="C16" i="10"/>
  <c r="D12" i="13"/>
  <c r="C12" i="13" s="1"/>
  <c r="E33" i="13"/>
  <c r="D35" i="13" s="1"/>
  <c r="I257" i="1"/>
  <c r="I271" i="1" s="1"/>
  <c r="C15" i="10"/>
  <c r="L229" i="1"/>
  <c r="G660" i="1" s="1"/>
  <c r="F257" i="1"/>
  <c r="F271" i="1" s="1"/>
  <c r="H257" i="1"/>
  <c r="H271" i="1" s="1"/>
  <c r="J257" i="1"/>
  <c r="J271" i="1" s="1"/>
  <c r="K257" i="1"/>
  <c r="K271" i="1" s="1"/>
  <c r="D5" i="13"/>
  <c r="C5" i="13" s="1"/>
  <c r="C109" i="2"/>
  <c r="C115" i="2" s="1"/>
  <c r="L247" i="1"/>
  <c r="H660" i="1" s="1"/>
  <c r="G257" i="1"/>
  <c r="G271" i="1" s="1"/>
  <c r="C10" i="10"/>
  <c r="L211" i="1"/>
  <c r="L362" i="1"/>
  <c r="G635" i="1" s="1"/>
  <c r="J635" i="1" s="1"/>
  <c r="D145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G21" i="2"/>
  <c r="G31" i="2" s="1"/>
  <c r="J32" i="1"/>
  <c r="L434" i="1"/>
  <c r="J434" i="1"/>
  <c r="F434" i="1"/>
  <c r="K434" i="1"/>
  <c r="G134" i="2" s="1"/>
  <c r="G144" i="2" s="1"/>
  <c r="G145" i="2" s="1"/>
  <c r="F31" i="13"/>
  <c r="J193" i="1"/>
  <c r="F104" i="2"/>
  <c r="H193" i="1"/>
  <c r="G169" i="1"/>
  <c r="C39" i="10" s="1"/>
  <c r="G140" i="1"/>
  <c r="F140" i="1"/>
  <c r="F193" i="1" s="1"/>
  <c r="C36" i="10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A22" i="12"/>
  <c r="J652" i="1"/>
  <c r="J642" i="1"/>
  <c r="G571" i="1"/>
  <c r="I434" i="1"/>
  <c r="G434" i="1"/>
  <c r="J647" i="1" l="1"/>
  <c r="I663" i="1"/>
  <c r="K552" i="1"/>
  <c r="F660" i="1"/>
  <c r="C27" i="10"/>
  <c r="G664" i="1"/>
  <c r="G672" i="1" s="1"/>
  <c r="C5" i="10" s="1"/>
  <c r="L408" i="1"/>
  <c r="G646" i="1"/>
  <c r="J468" i="1"/>
  <c r="H664" i="1"/>
  <c r="H667" i="1" s="1"/>
  <c r="G630" i="1"/>
  <c r="I468" i="1"/>
  <c r="F33" i="13"/>
  <c r="G638" i="1"/>
  <c r="J472" i="1"/>
  <c r="J605" i="1"/>
  <c r="K604" i="1"/>
  <c r="K605" i="1" s="1"/>
  <c r="G648" i="1" s="1"/>
  <c r="G629" i="1"/>
  <c r="H468" i="1"/>
  <c r="I472" i="1"/>
  <c r="I474" i="1" s="1"/>
  <c r="L545" i="1"/>
  <c r="H636" i="1"/>
  <c r="J636" i="1" s="1"/>
  <c r="H648" i="1"/>
  <c r="J648" i="1" s="1"/>
  <c r="G104" i="2"/>
  <c r="E145" i="2"/>
  <c r="L338" i="1"/>
  <c r="L352" i="1" s="1"/>
  <c r="D31" i="13"/>
  <c r="C31" i="13" s="1"/>
  <c r="F664" i="1"/>
  <c r="F667" i="1" s="1"/>
  <c r="C104" i="2"/>
  <c r="G627" i="1"/>
  <c r="C145" i="2"/>
  <c r="C28" i="10"/>
  <c r="D24" i="10" s="1"/>
  <c r="L257" i="1"/>
  <c r="L271" i="1" s="1"/>
  <c r="I660" i="1"/>
  <c r="I664" i="1" s="1"/>
  <c r="I672" i="1" s="1"/>
  <c r="C7" i="10" s="1"/>
  <c r="C51" i="2"/>
  <c r="G631" i="1"/>
  <c r="G193" i="1"/>
  <c r="G626" i="1"/>
  <c r="J52" i="1"/>
  <c r="H621" i="1" s="1"/>
  <c r="J621" i="1" s="1"/>
  <c r="C38" i="10"/>
  <c r="G667" i="1" l="1"/>
  <c r="H672" i="1"/>
  <c r="C6" i="10" s="1"/>
  <c r="H637" i="1"/>
  <c r="J470" i="1"/>
  <c r="J476" i="1" s="1"/>
  <c r="H626" i="1" s="1"/>
  <c r="J626" i="1" s="1"/>
  <c r="H631" i="1"/>
  <c r="J631" i="1" s="1"/>
  <c r="G628" i="1"/>
  <c r="G468" i="1"/>
  <c r="I470" i="1"/>
  <c r="I476" i="1" s="1"/>
  <c r="H625" i="1" s="1"/>
  <c r="J625" i="1" s="1"/>
  <c r="H630" i="1"/>
  <c r="G633" i="1"/>
  <c r="H472" i="1"/>
  <c r="H470" i="1"/>
  <c r="H629" i="1"/>
  <c r="J629" i="1" s="1"/>
  <c r="H638" i="1"/>
  <c r="J638" i="1" s="1"/>
  <c r="J474" i="1"/>
  <c r="J630" i="1"/>
  <c r="G637" i="1"/>
  <c r="H646" i="1"/>
  <c r="J646" i="1" s="1"/>
  <c r="G632" i="1"/>
  <c r="F472" i="1"/>
  <c r="D33" i="13"/>
  <c r="D36" i="13" s="1"/>
  <c r="F672" i="1"/>
  <c r="C4" i="10" s="1"/>
  <c r="F470" i="1"/>
  <c r="H627" i="1"/>
  <c r="J627" i="1" s="1"/>
  <c r="D18" i="10"/>
  <c r="D26" i="10"/>
  <c r="C30" i="10"/>
  <c r="D27" i="10"/>
  <c r="D10" i="10"/>
  <c r="D25" i="10"/>
  <c r="D20" i="10"/>
  <c r="D16" i="10"/>
  <c r="D15" i="10"/>
  <c r="D13" i="10"/>
  <c r="D17" i="10"/>
  <c r="D19" i="10"/>
  <c r="D11" i="10"/>
  <c r="D21" i="10"/>
  <c r="D22" i="10"/>
  <c r="D12" i="10"/>
  <c r="D23" i="10"/>
  <c r="I667" i="1"/>
  <c r="C41" i="10"/>
  <c r="D38" i="10" s="1"/>
  <c r="J637" i="1" l="1"/>
  <c r="G470" i="1"/>
  <c r="G476" i="1" s="1"/>
  <c r="H623" i="1" s="1"/>
  <c r="J623" i="1" s="1"/>
  <c r="H628" i="1"/>
  <c r="H633" i="1"/>
  <c r="J633" i="1" s="1"/>
  <c r="H474" i="1"/>
  <c r="H476" i="1" s="1"/>
  <c r="H624" i="1" s="1"/>
  <c r="J624" i="1" s="1"/>
  <c r="J628" i="1"/>
  <c r="F474" i="1"/>
  <c r="F476" i="1" s="1"/>
  <c r="H622" i="1" s="1"/>
  <c r="H632" i="1"/>
  <c r="J632" i="1" s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<sst xmlns="http://schemas.openxmlformats.org/spreadsheetml/2006/main" count="3961" uniqueCount="918">
  <si>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</si>
  <si>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</si>
  <si>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</si>
  <si>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</si>
  <si>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</si>
  <si>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</si>
  <si>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</si>
  <si>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</si>
  <si>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</si>
  <si>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</si>
  <si>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</si>
  <si>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</si>
  <si>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</si>
  <si>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</si>
  <si>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</si>
  <si>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</si>
  <si>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</si>
  <si>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</si>
  <si>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</si>
  <si>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</si>
  <si>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</si>
  <si>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</si>
  <si>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</si>
  <si>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</si>
  <si>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</si>
  <si>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</si>
  <si>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</si>
  <si>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</si>
  <si>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</si>
  <si>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</si>
  <si>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</si>
  <si>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</si>
  <si>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</si>
  <si>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</si>
  <si>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</si>
  <si>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</si>
  <si>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</si>
  <si>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</si>
  <si>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</si>
  <si>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</si>
  <si>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</si>
  <si>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</si>
  <si>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</si>
  <si>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</si>
  <si>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</si>
  <si>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</si>
  <si>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</si>
  <si>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</si>
  <si>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</si>
  <si>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</si>
  <si>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</si>
  <si>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</si>
  <si>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</si>
  <si>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</si>
  <si>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</si>
  <si>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</si>
  <si>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</si>
  <si>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</si>
  <si>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</si>
  <si>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</si>
  <si>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</si>
  <si>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</si>
  <si>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</si>
  <si>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</si>
  <si>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</si>
  <si>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</si>
  <si>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</si>
  <si>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</si>
  <si>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</si>
  <si>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</si>
  <si>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</si>
  <si>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</si>
  <si>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</si>
  <si>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</si>
  <si>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</si>
  <si>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</si>
  <si>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</si>
  <si>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</si>
  <si>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</si>
  <si>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</si>
  <si>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</si>
  <si>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</si>
  <si>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</si>
  <si>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</si>
  <si>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</si>
  <si>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</si>
  <si>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</si>
  <si>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</si>
  <si>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</si>
  <si>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</si>
  <si>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</si>
  <si>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</si>
  <si>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</si>
  <si>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</si>
  <si>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</si>
  <si>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</si>
  <si>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</si>
  <si>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</si>
  <si>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</si>
  <si>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</si>
  <si>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</si>
  <si>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</si>
  <si>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</si>
  <si>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</si>
  <si>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</si>
  <si>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</si>
  <si>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</si>
  <si>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</si>
  <si>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</si>
  <si>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</si>
  <si>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</si>
  <si>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</si>
  <si>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</si>
  <si>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</si>
  <si>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</si>
  <si>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</si>
  <si>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</si>
  <si>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</si>
  <si>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</si>
  <si>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</si>
  <si>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</si>
  <si>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</si>
  <si>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</si>
  <si>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</si>
  <si>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</si>
  <si>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</si>
  <si>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</si>
  <si>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</si>
  <si>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</si>
  <si>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</si>
  <si>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</si>
  <si>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</si>
  <si>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</si>
  <si>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</si>
  <si>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</si>
  <si>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</si>
  <si>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</si>
  <si>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</si>
  <si>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</si>
  <si>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</si>
  <si>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</si>
  <si>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</si>
  <si>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</si>
  <si>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</si>
  <si>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</si>
  <si>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</si>
  <si>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</si>
  <si>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</si>
  <si>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</si>
  <si>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</si>
  <si>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</si>
  <si>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</si>
  <si>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</si>
  <si>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</si>
  <si>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</si>
  <si>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</si>
  <si>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</si>
  <si>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</si>
  <si>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</si>
  <si>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</si>
  <si>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</si>
  <si>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</si>
  <si>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</si>
  <si>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</si>
  <si>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</si>
  <si>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</si>
  <si>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</si>
  <si>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</si>
  <si>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</si>
  <si>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</si>
  <si>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</si>
  <si>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</si>
  <si>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</si>
  <si>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</si>
  <si>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</si>
  <si>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</si>
  <si>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</si>
  <si>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</si>
  <si>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</si>
  <si>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</si>
  <si>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</si>
  <si>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</si>
  <si>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</si>
  <si>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</si>
  <si>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</si>
  <si>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</si>
  <si>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</si>
  <si>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</si>
  <si>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</si>
  <si>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</si>
  <si>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</si>
  <si>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</si>
  <si>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</si>
  <si>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</si>
  <si>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</si>
  <si>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</si>
  <si>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</si>
  <si>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</si>
  <si>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</si>
  <si>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</si>
  <si>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</si>
  <si>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</si>
  <si>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</si>
  <si>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</si>
  <si>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</si>
  <si>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</si>
  <si>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</si>
  <si>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</si>
  <si>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</si>
  <si>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</si>
  <si>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</si>
  <si>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</si>
  <si>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</si>
  <si>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</si>
  <si>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</si>
  <si>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</si>
  <si>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</si>
  <si>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</si>
  <si>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</si>
  <si>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</si>
  <si>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</si>
  <si>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</si>
  <si>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</si>
  <si>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</si>
  <si>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</si>
  <si>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</si>
  <si>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</si>
  <si>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</si>
  <si>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</si>
  <si>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</si>
  <si>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</si>
  <si>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</si>
  <si>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</si>
  <si>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</si>
  <si>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</si>
  <si>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</si>
  <si>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</si>
  <si>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</si>
  <si>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</si>
  <si>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</si>
  <si>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</si>
  <si>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</si>
  <si>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</si>
  <si>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</si>
  <si>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</si>
  <si>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</si>
  <si>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</si>
  <si>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</si>
  <si>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</si>
  <si>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</si>
  <si>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</si>
  <si>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</si>
  <si>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</si>
  <si>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</si>
  <si>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</si>
  <si>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</si>
  <si>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</si>
  <si>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</si>
  <si>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</si>
  <si>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</si>
  <si>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</si>
  <si>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</si>
  <si>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</si>
  <si>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</si>
  <si>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</si>
  <si>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</si>
  <si>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</si>
  <si>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</si>
  <si>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</si>
  <si>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</si>
  <si>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</si>
  <si>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</si>
  <si>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</si>
  <si>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</si>
  <si>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</si>
  <si>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</si>
  <si>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</si>
  <si>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</si>
  <si>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</si>
  <si>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</si>
  <si>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</si>
  <si>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</si>
  <si>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</si>
  <si>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</si>
  <si>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</si>
  <si>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</si>
  <si>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</si>
  <si>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</si>
  <si>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</si>
  <si>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</si>
  <si>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</si>
  <si>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</si>
  <si>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</si>
  <si>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</si>
  <si>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</si>
  <si>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</si>
  <si>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</si>
  <si>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</si>
  <si>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</si>
  <si>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</si>
  <si>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</si>
  <si>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</si>
  <si>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</si>
  <si>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</si>
  <si>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</si>
  <si>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</si>
  <si>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</si>
  <si>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</si>
  <si>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</si>
  <si>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</si>
  <si>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</si>
  <si>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</si>
  <si>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</si>
  <si>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</si>
  <si>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</si>
  <si>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</si>
  <si>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</si>
  <si>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</si>
  <si>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</si>
  <si>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</si>
  <si>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</si>
  <si>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</si>
  <si>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</si>
  <si>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</si>
  <si>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</si>
  <si>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</si>
  <si>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</si>
  <si>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</si>
  <si>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</si>
  <si>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</si>
  <si>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</si>
  <si>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</si>
  <si>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</si>
  <si>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</si>
  <si>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</si>
  <si>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</si>
  <si>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</si>
  <si>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</si>
  <si>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</si>
  <si>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</si>
  <si>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</si>
  <si>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</si>
  <si>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</si>
  <si>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</si>
  <si>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</si>
  <si>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</si>
  <si>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</si>
  <si>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</si>
  <si>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</si>
  <si>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</si>
  <si>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</si>
  <si>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</si>
  <si>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</si>
  <si>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</si>
  <si>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</si>
  <si>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</si>
  <si>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</si>
  <si>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</si>
  <si>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</si>
  <si>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</si>
  <si>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</si>
  <si>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</si>
  <si>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</si>
  <si>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</si>
  <si>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</si>
  <si>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</si>
  <si>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</si>
  <si>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</si>
  <si>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</si>
  <si>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</si>
  <si>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</si>
  <si>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</si>
  <si>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</si>
  <si>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</si>
  <si>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</si>
  <si>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</si>
  <si>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</si>
  <si>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</si>
  <si>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</si>
  <si>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</si>
  <si>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</si>
  <si>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</si>
  <si>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</si>
  <si>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</si>
  <si>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</si>
  <si>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</si>
  <si>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</si>
  <si>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</si>
  <si>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</si>
  <si>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</si>
  <si>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</si>
  <si>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</si>
  <si>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</si>
  <si>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</si>
  <si>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</si>
  <si>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</si>
  <si>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</si>
  <si>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</si>
  <si>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</si>
  <si>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</si>
  <si>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</si>
  <si>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</si>
  <si>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</si>
  <si>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</si>
  <si>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</si>
  <si>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</si>
  <si>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</si>
  <si>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</si>
  <si>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</si>
  <si>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</si>
  <si>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</si>
  <si>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</si>
  <si>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</si>
  <si>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</si>
  <si>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</si>
  <si>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</si>
  <si>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</si>
  <si>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</si>
  <si>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</si>
  <si>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</si>
  <si>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</si>
  <si>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</si>
  <si>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</si>
  <si>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</si>
  <si>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</si>
  <si>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</si>
  <si>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</si>
  <si>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</si>
  <si>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</si>
  <si>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</si>
  <si>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</si>
  <si>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</si>
  <si>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</si>
  <si>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</si>
  <si>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</si>
  <si>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</si>
  <si>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</si>
  <si>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</si>
  <si>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</si>
  <si>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</si>
  <si>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</si>
  <si>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</si>
  <si>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</si>
  <si>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</si>
  <si>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</si>
  <si>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</si>
  <si>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</si>
  <si>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</si>
  <si>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</si>
  <si>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</si>
  <si>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</si>
  <si>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</si>
  <si>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</si>
  <si>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</si>
  <si>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</si>
  <si>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</si>
  <si>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</si>
  <si>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</si>
  <si>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</si>
  <si>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</si>
  <si>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</si>
  <si>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</si>
  <si>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</si>
  <si>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</si>
  <si>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</si>
  <si>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</si>
  <si>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</si>
  <si>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</si>
  <si>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</si>
  <si>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</si>
  <si>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</si>
  <si>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</si>
  <si>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</si>
  <si>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</si>
  <si>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</si>
  <si>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</si>
  <si>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</si>
  <si>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</si>
  <si>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</si>
  <si>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</si>
  <si>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</si>
  <si>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</si>
  <si>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</si>
  <si>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</si>
  <si>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</si>
  <si>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</si>
  <si>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</si>
  <si>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</si>
  <si>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</si>
  <si>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</si>
  <si>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</si>
  <si>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</si>
  <si>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</si>
  <si>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</si>
  <si>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</si>
  <si>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</si>
  <si>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</si>
  <si>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</si>
  <si>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</si>
  <si>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</si>
  <si>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</si>
  <si>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</si>
  <si>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</si>
  <si>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</si>
  <si>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</si>
  <si>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</si>
  <si>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</si>
  <si>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</si>
  <si>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</si>
  <si>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</si>
  <si>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</si>
  <si>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</si>
  <si>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</si>
  <si>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</si>
  <si>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</si>
  <si>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</si>
  <si>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</si>
  <si>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</si>
  <si>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</si>
  <si>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</si>
  <si>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</si>
  <si>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</si>
  <si>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</si>
  <si>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</si>
  <si>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</si>
  <si>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</si>
  <si>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</si>
  <si>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</si>
  <si>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</si>
  <si>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</si>
  <si>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</si>
  <si>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</si>
  <si>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</si>
  <si>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</si>
  <si>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</si>
  <si>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</si>
  <si>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</si>
  <si>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</si>
  <si>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</si>
  <si>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</si>
  <si>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</si>
  <si>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</si>
  <si>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</si>
  <si>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</si>
  <si>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</si>
  <si>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</si>
  <si>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</si>
  <si>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</si>
  <si>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</si>
  <si>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</si>
  <si>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</si>
  <si>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</si>
  <si>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</si>
  <si>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</si>
  <si>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</si>
  <si>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</si>
  <si>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</si>
  <si>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</si>
  <si>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</si>
  <si>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</si>
  <si>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</si>
  <si>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</si>
  <si>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</si>
  <si>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</si>
  <si>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</si>
  <si>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</si>
  <si>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</si>
  <si>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</si>
  <si>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</si>
  <si>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</si>
  <si>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</si>
  <si>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</si>
  <si>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</si>
  <si>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</si>
  <si>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</si>
  <si>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</si>
  <si>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</si>
  <si>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</si>
  <si>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</si>
  <si>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</si>
  <si>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</si>
  <si>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</si>
  <si>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</si>
  <si>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</si>
  <si>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</si>
  <si>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</si>
  <si>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</si>
  <si>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</si>
  <si>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</si>
  <si>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</si>
  <si>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</si>
  <si>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</si>
  <si>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</si>
  <si>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</si>
  <si>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</si>
  <si>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</si>
  <si>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</si>
  <si>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</si>
  <si>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</si>
  <si>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</si>
  <si>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</si>
  <si>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</si>
  <si>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</si>
  <si>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</si>
  <si>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</si>
  <si>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</si>
  <si>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</si>
  <si>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</si>
  <si>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</si>
  <si>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</si>
  <si>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</si>
  <si>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</si>
  <si>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</si>
  <si>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</si>
  <si>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</si>
  <si>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</si>
  <si>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</si>
  <si>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</si>
  <si>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</si>
  <si>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</si>
  <si>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</si>
  <si>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</si>
  <si>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</si>
  <si>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</si>
  <si>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</si>
  <si>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</si>
  <si>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</si>
  <si>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</si>
  <si>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</si>
  <si>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</si>
  <si>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</si>
  <si>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</si>
  <si>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</si>
  <si>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</si>
  <si>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</si>
  <si>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</si>
  <si>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</si>
  <si>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</si>
  <si>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</si>
  <si>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</si>
  <si>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</si>
  <si>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</si>
  <si>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</si>
  <si>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</si>
  <si>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</si>
  <si>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</si>
  <si>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</si>
  <si>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</si>
  <si>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</si>
  <si>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</si>
  <si>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</si>
  <si>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</si>
  <si>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</si>
  <si>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</si>
  <si>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</si>
  <si>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</si>
  <si>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</si>
  <si>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</si>
  <si>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</si>
  <si>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</si>
  <si>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</si>
  <si>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</si>
  <si>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</si>
  <si>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</si>
  <si>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</si>
  <si>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</si>
  <si>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</si>
  <si>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</si>
  <si>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</si>
  <si>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</si>
  <si>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</si>
  <si>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</si>
  <si>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</si>
  <si>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</si>
  <si>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</si>
  <si>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</si>
  <si>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</si>
  <si>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</si>
  <si>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</si>
  <si>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</si>
  <si>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</si>
  <si>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</si>
  <si>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</si>
  <si>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</si>
  <si>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</si>
  <si>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</si>
  <si>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</si>
  <si>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</si>
  <si>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</si>
  <si>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</si>
  <si>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</si>
  <si>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</si>
  <si>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</si>
  <si>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</si>
  <si>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</si>
  <si>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</si>
  <si>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</si>
  <si>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</si>
  <si>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</si>
  <si>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</si>
  <si>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</si>
  <si>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</si>
  <si>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</si>
  <si>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</si>
  <si>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</si>
  <si>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</si>
  <si>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</si>
  <si>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</si>
  <si>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</si>
  <si>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</si>
  <si>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</si>
  <si>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</si>
  <si>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</si>
  <si>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</si>
  <si>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</si>
  <si>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</si>
  <si>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</si>
  <si>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</si>
  <si>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</si>
  <si>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</si>
  <si>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</si>
  <si>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</si>
  <si>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</si>
  <si>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</si>
  <si>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</si>
  <si>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</si>
  <si>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</si>
  <si>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</si>
  <si>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</si>
  <si>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</si>
  <si>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</si>
  <si>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</si>
  <si>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</si>
  <si>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</si>
  <si>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</si>
  <si>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</si>
  <si>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</si>
  <si>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</si>
  <si>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</si>
  <si>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</si>
  <si>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</si>
  <si>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</si>
  <si>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</si>
  <si>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</si>
  <si>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</si>
  <si>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</si>
  <si>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</si>
  <si>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</si>
  <si>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</si>
  <si>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</si>
  <si>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</si>
  <si>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</si>
  <si>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</si>
  <si>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</si>
  <si>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</si>
  <si>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</si>
  <si>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</si>
  <si>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</si>
  <si>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</si>
  <si>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</si>
  <si>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</si>
  <si>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</si>
  <si>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</si>
  <si>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</si>
  <si>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</si>
  <si>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</si>
  <si>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</si>
  <si>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</si>
  <si>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</si>
  <si>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</si>
  <si>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</si>
  <si>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</si>
  <si>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</si>
  <si>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</si>
  <si>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</si>
  <si>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</si>
  <si>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</si>
  <si>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</si>
  <si>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</si>
  <si>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</si>
  <si>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</si>
  <si>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</si>
  <si>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</si>
  <si>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</si>
  <si>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</si>
  <si>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</si>
  <si>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</si>
  <si>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</si>
  <si>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</si>
  <si>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</si>
  <si>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</si>
  <si>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</si>
  <si>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</si>
  <si>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</si>
  <si>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</si>
  <si>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</si>
  <si>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</si>
  <si>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</si>
  <si>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</si>
  <si>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</si>
  <si>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</si>
  <si>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</si>
  <si>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</si>
  <si>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</si>
  <si>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</si>
  <si>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</si>
  <si>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</si>
  <si>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</si>
  <si>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</si>
  <si>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</si>
  <si>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</si>
  <si>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</si>
  <si>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</si>
  <si>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</si>
  <si>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</si>
  <si>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</si>
  <si>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</si>
  <si>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</si>
  <si>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</si>
  <si>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</si>
  <si>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</si>
  <si>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</si>
  <si>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</si>
  <si>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</si>
  <si>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</si>
  <si>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</si>
  <si>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</si>
  <si>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</si>
  <si>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</si>
  <si>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</si>
  <si>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</si>
  <si>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</si>
  <si>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</si>
  <si>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</si>
  <si>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</si>
  <si>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</si>
  <si>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</si>
  <si>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</si>
  <si>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</si>
  <si>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</si>
  <si>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</si>
  <si>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</si>
  <si>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</si>
  <si>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</si>
  <si>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</si>
  <si>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</si>
  <si>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</si>
  <si>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</si>
  <si>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</si>
  <si>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</si>
  <si>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</si>
  <si>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</si>
  <si>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</si>
  <si>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</si>
  <si>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</si>
  <si>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</si>
  <si>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</si>
  <si>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</si>
  <si>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</si>
  <si>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</si>
  <si>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</si>
  <si>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</si>
  <si>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</si>
  <si>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</si>
  <si>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</si>
  <si>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</si>
  <si>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</si>
  <si>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</si>
  <si>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</si>
  <si>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</si>
  <si>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</si>
  <si>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</si>
  <si>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</si>
  <si>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</si>
  <si>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</si>
  <si>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</si>
  <si>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</si>
  <si>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</si>
  <si>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</si>
  <si>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</si>
  <si>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</si>
  <si>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</si>
  <si>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</si>
  <si>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</si>
  <si>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</si>
  <si>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</si>
  <si>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</si>
  <si>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</si>
  <si>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</si>
  <si>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</si>
  <si>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</si>
  <si>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</si>
  <si>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</si>
  <si>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</si>
  <si>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</si>
  <si>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</si>
  <si>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</si>
  <si>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</si>
  <si>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</si>
  <si>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</si>
  <si>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</si>
  <si>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</si>
  <si>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</si>
  <si>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</si>
  <si>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</si>
  <si>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</si>
  <si>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</si>
  <si>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</si>
  <si>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</si>
  <si>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</si>
  <si>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</si>
  <si>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12/10</t>
  </si>
  <si>
    <t>01/16</t>
  </si>
  <si>
    <t>12/11</t>
  </si>
  <si>
    <t>01/32</t>
  </si>
  <si>
    <t>Various</t>
  </si>
  <si>
    <t>Adjustments to prior year based on audit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</si>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</sst>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295</v>
      </c>
      <c r="C2" s="21">
        <v>295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1042322.3+768881.84+19063.73</f>
        <v>1830267.87</v>
      </c>
      <c r="G9" s="18">
        <v>28151.51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1884511.04+80171.52</f>
        <v>1964682.56</v>
      </c>
      <c r="G10" s="18"/>
      <c r="H10" s="18"/>
      <c r="I10" s="18"/>
      <c r="J10" s="67">
        <f>SUM(I440)</f>
        <v>3791802.22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16922.52</v>
      </c>
      <c r="I12" s="18">
        <f>255840.11-244440.2</f>
        <v>11399.909999999974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21147.39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4701.01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3794950.43</v>
      </c>
      <c r="G19" s="41">
        <f>SUM(G9:G18)</f>
        <v>53999.909999999996</v>
      </c>
      <c r="H19" s="41">
        <f>SUM(H9:H18)</f>
        <v>16922.52</v>
      </c>
      <c r="I19" s="41">
        <f>SUM(I9:I18)</f>
        <v>11399.909999999974</v>
      </c>
      <c r="J19" s="41">
        <f>SUM(J9:J18)</f>
        <v>3791802.22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25706.31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51074.65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94.37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25800.68</v>
      </c>
      <c r="G32" s="41">
        <f>SUM(G22:G31)</f>
        <v>51074.65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2925.26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400000</f>
        <v>400000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245800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667153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/>
      <c r="H48" s="18">
        <v>16922.52</v>
      </c>
      <c r="I48" s="18">
        <v>11399.91</v>
      </c>
      <c r="J48" s="13">
        <f>SUM(I459)</f>
        <v>3791802.22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6520905.99-25800.68-556780-245800-400000-2631995.36-F46+556780-93960.2</f>
        <v>2456196.7500000005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3769149.7500000005</v>
      </c>
      <c r="G51" s="41">
        <f>SUM(G35:G50)</f>
        <v>2925.26</v>
      </c>
      <c r="H51" s="41">
        <f>SUM(H35:H50)</f>
        <v>16922.52</v>
      </c>
      <c r="I51" s="41">
        <f>SUM(I35:I50)</f>
        <v>11399.91</v>
      </c>
      <c r="J51" s="41">
        <f>SUM(J35:J50)</f>
        <v>3791802.22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3794950.4300000006</v>
      </c>
      <c r="G52" s="41">
        <f>G51+G32</f>
        <v>53999.91</v>
      </c>
      <c r="H52" s="41">
        <f>H51+H32</f>
        <v>16922.52</v>
      </c>
      <c r="I52" s="41">
        <f>I51+I32</f>
        <v>11399.91</v>
      </c>
      <c r="J52" s="41">
        <f>J51+J32</f>
        <v>3791802.22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22271226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22271226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13421+22520.02</f>
        <v>35941.020000000004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1025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4361330.09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1280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14427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4414003.1099999994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2080.83</v>
      </c>
      <c r="G96" s="18"/>
      <c r="H96" s="18"/>
      <c r="I96" s="18"/>
      <c r="J96" s="18">
        <f>1576.37+121.99+5232.11+549.83</f>
        <v>7480.2999999999993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364079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11051.25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8888.5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117749.77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1152326.52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6737.28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186380.01</v>
      </c>
      <c r="G110" s="18"/>
      <c r="H110" s="18">
        <v>259913.96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1485214.1600000001</v>
      </c>
      <c r="G111" s="41">
        <f>SUM(G96:G110)</f>
        <v>364079</v>
      </c>
      <c r="H111" s="41">
        <f>SUM(H96:H110)</f>
        <v>259913.96</v>
      </c>
      <c r="I111" s="41">
        <f>SUM(I96:I110)</f>
        <v>0</v>
      </c>
      <c r="J111" s="41">
        <f>SUM(J96:J110)</f>
        <v>7480.2999999999993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28170443.27</v>
      </c>
      <c r="G112" s="41">
        <f>G60+G111</f>
        <v>364079</v>
      </c>
      <c r="H112" s="41">
        <f>H60+H79+H94+H111</f>
        <v>259913.96</v>
      </c>
      <c r="I112" s="41">
        <f>I60+I111</f>
        <v>0</v>
      </c>
      <c r="J112" s="41">
        <f>J60+J111</f>
        <v>7480.2999999999993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2030709.67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4414888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6445597.6699999999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604326.38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483817.77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219768.45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10554.24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51647.59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6654.06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1318466.8399999999</v>
      </c>
      <c r="G136" s="41">
        <f>SUM(G123:G135)</f>
        <v>6654.06</v>
      </c>
      <c r="H136" s="41">
        <f>SUM(H123:H135)</f>
        <v>51647.59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7764064.5099999998</v>
      </c>
      <c r="G140" s="41">
        <f>G121+SUM(G136:G137)</f>
        <v>6654.06</v>
      </c>
      <c r="H140" s="41">
        <f>H121+SUM(H136:H139)</f>
        <v>51647.59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>
        <v>28937.22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22935.85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51873.07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279896.98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168487.37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78692.820000000007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12656.65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226895.59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321326.4</f>
        <v>321326.40000000002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321326.40000000002</v>
      </c>
      <c r="G162" s="41">
        <f>SUM(G150:G161)</f>
        <v>226895.59</v>
      </c>
      <c r="H162" s="41">
        <f>SUM(H150:H161)</f>
        <v>539733.81999999995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321326.40000000002</v>
      </c>
      <c r="G169" s="41">
        <f>G147+G162+SUM(G163:G168)</f>
        <v>278768.65999999997</v>
      </c>
      <c r="H169" s="41">
        <f>H147+H162+SUM(H163:H168)</f>
        <v>539733.81999999995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1152326.52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>
        <v>4642.3100000000004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4642.3100000000004</v>
      </c>
      <c r="I183" s="41">
        <f>SUM(I179:I182)</f>
        <v>0</v>
      </c>
      <c r="J183" s="41">
        <f>SUM(J179:J182)</f>
        <v>1152326.52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4642.3100000000004</v>
      </c>
      <c r="I192" s="41">
        <f>I177+I183+SUM(I188:I191)</f>
        <v>0</v>
      </c>
      <c r="J192" s="41">
        <f>J183</f>
        <v>1152326.52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36255834.18</v>
      </c>
      <c r="G193" s="47">
        <f>G112+G140+G169+G192</f>
        <v>649501.72</v>
      </c>
      <c r="H193" s="47">
        <f>H112+H140+H169+H192</f>
        <v>855937.67999999993</v>
      </c>
      <c r="I193" s="47">
        <f>I112+I140+I169+I192</f>
        <v>0</v>
      </c>
      <c r="J193" s="47">
        <f>J112+J140+J192</f>
        <v>1159806.82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3565084.51-0.1</f>
        <v>3565084.4099999997</v>
      </c>
      <c r="G197" s="18">
        <v>1698684.07</v>
      </c>
      <c r="H197" s="18">
        <v>7508.08</v>
      </c>
      <c r="I197" s="18">
        <v>103635.95</v>
      </c>
      <c r="J197" s="18">
        <v>21888.98</v>
      </c>
      <c r="K197" s="18">
        <v>11807</v>
      </c>
      <c r="L197" s="19">
        <f>SUM(F197:K197)</f>
        <v>5408608.4900000002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1612119.42</v>
      </c>
      <c r="G198" s="18">
        <v>846116.6</v>
      </c>
      <c r="H198" s="18">
        <v>181174.58</v>
      </c>
      <c r="I198" s="18">
        <v>8630.3700000000008</v>
      </c>
      <c r="J198" s="18">
        <v>17335.5</v>
      </c>
      <c r="K198" s="18">
        <v>1740.19</v>
      </c>
      <c r="L198" s="19">
        <f>SUM(F198:K198)</f>
        <v>2667116.66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8568.33</v>
      </c>
      <c r="G200" s="18">
        <v>1640.31</v>
      </c>
      <c r="H200" s="18"/>
      <c r="I200" s="18"/>
      <c r="J200" s="18"/>
      <c r="K200" s="18"/>
      <c r="L200" s="19">
        <f>SUM(F200:K200)</f>
        <v>10208.64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114223.02+145701.45</f>
        <v>259924.47000000003</v>
      </c>
      <c r="G202" s="18">
        <f>60033.38+59376.67</f>
        <v>119410.04999999999</v>
      </c>
      <c r="H202" s="18">
        <f>8718.56+597.91</f>
        <v>9316.4699999999993</v>
      </c>
      <c r="I202" s="18">
        <f>993.27+3177.25</f>
        <v>4170.5200000000004</v>
      </c>
      <c r="J202" s="18">
        <v>2681.75</v>
      </c>
      <c r="K202" s="18">
        <v>35.6</v>
      </c>
      <c r="L202" s="19">
        <f t="shared" ref="L202:L208" si="0">SUM(F202:K202)</f>
        <v>395538.86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1562.14+18868+177845.52+62736.1</f>
        <v>261011.75999999998</v>
      </c>
      <c r="G203" s="18">
        <f>309.34+3733.36+83190.81+27819.46</f>
        <v>115052.97</v>
      </c>
      <c r="H203" s="18">
        <f>12249.99+21004.71+96900.2</f>
        <v>130154.9</v>
      </c>
      <c r="I203" s="18">
        <f>687.55+25949.73+21728.06</f>
        <v>48365.34</v>
      </c>
      <c r="J203" s="18">
        <f>2217.79+23437.32</f>
        <v>25655.11</v>
      </c>
      <c r="K203" s="18">
        <v>0</v>
      </c>
      <c r="L203" s="19">
        <f t="shared" si="0"/>
        <v>580240.07999999996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5579.41+198646.71+16109.36</f>
        <v>220335.47999999998</v>
      </c>
      <c r="G204" s="18">
        <f>437.8+92290.03+9839.96</f>
        <v>102567.79000000001</v>
      </c>
      <c r="H204" s="18">
        <f>37263.37+5139.94+61009.79+8785.01</f>
        <v>112198.11</v>
      </c>
      <c r="I204" s="18">
        <f>1243.23+31200.18+2906.93</f>
        <v>35350.339999999997</v>
      </c>
      <c r="J204" s="18">
        <v>503.05</v>
      </c>
      <c r="K204" s="18">
        <f>2014+6914.09+133.5</f>
        <v>9061.59</v>
      </c>
      <c r="L204" s="19">
        <f t="shared" si="0"/>
        <v>480016.36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228382.16</v>
      </c>
      <c r="G205" s="18">
        <v>108151.78</v>
      </c>
      <c r="H205" s="18">
        <v>155168.29</v>
      </c>
      <c r="I205" s="18">
        <v>4588.3900000000003</v>
      </c>
      <c r="J205" s="18">
        <v>1196.6500000000001</v>
      </c>
      <c r="K205" s="18">
        <v>923.25</v>
      </c>
      <c r="L205" s="19">
        <f t="shared" si="0"/>
        <v>498410.52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354270.35</v>
      </c>
      <c r="G207" s="18">
        <v>166341.99</v>
      </c>
      <c r="H207" s="18">
        <v>229539.29</v>
      </c>
      <c r="I207" s="18">
        <v>247125.47</v>
      </c>
      <c r="J207" s="18">
        <v>7021.47</v>
      </c>
      <c r="K207" s="18">
        <v>741.9</v>
      </c>
      <c r="L207" s="19">
        <f t="shared" si="0"/>
        <v>1005040.47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6882.99+40616.28+102173.71</f>
        <v>149672.98000000001</v>
      </c>
      <c r="G208" s="18">
        <f>493.57+5618.21+25418.46</f>
        <v>31530.239999999998</v>
      </c>
      <c r="H208" s="18">
        <f>3188+60921.9+7896.11</f>
        <v>72006.009999999995</v>
      </c>
      <c r="I208" s="18">
        <f>12690.51+38088.49</f>
        <v>50779</v>
      </c>
      <c r="J208" s="18">
        <v>0</v>
      </c>
      <c r="K208" s="18">
        <v>251.19</v>
      </c>
      <c r="L208" s="19">
        <f t="shared" si="0"/>
        <v>304239.42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6659369.3599999994</v>
      </c>
      <c r="G211" s="41">
        <f t="shared" si="1"/>
        <v>3189495.8</v>
      </c>
      <c r="H211" s="41">
        <f t="shared" si="1"/>
        <v>897065.73</v>
      </c>
      <c r="I211" s="41">
        <f t="shared" si="1"/>
        <v>502645.38</v>
      </c>
      <c r="J211" s="41">
        <f t="shared" si="1"/>
        <v>76282.509999999995</v>
      </c>
      <c r="K211" s="41">
        <f t="shared" si="1"/>
        <v>24560.720000000001</v>
      </c>
      <c r="L211" s="41">
        <f t="shared" si="1"/>
        <v>11349419.5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2747963.7</v>
      </c>
      <c r="G215" s="18">
        <v>1180892.6100000001</v>
      </c>
      <c r="H215" s="18">
        <v>10361.370000000001</v>
      </c>
      <c r="I215" s="18">
        <v>87273.75</v>
      </c>
      <c r="J215" s="18">
        <v>5437.88</v>
      </c>
      <c r="K215" s="18">
        <v>12939.72</v>
      </c>
      <c r="L215" s="19">
        <f>SUM(F215:K215)</f>
        <v>4044869.0300000007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1192600.57</v>
      </c>
      <c r="G216" s="18">
        <v>708681.28</v>
      </c>
      <c r="H216" s="18">
        <v>494776.46</v>
      </c>
      <c r="I216" s="18">
        <v>14906.29</v>
      </c>
      <c r="J216" s="18">
        <v>7147.61</v>
      </c>
      <c r="K216" s="18">
        <v>1128.43</v>
      </c>
      <c r="L216" s="19">
        <f>SUM(F216:K216)</f>
        <v>2419240.64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176146.67</v>
      </c>
      <c r="G218" s="18">
        <f>9087.44</f>
        <v>9087.44</v>
      </c>
      <c r="H218" s="18">
        <v>14688.35</v>
      </c>
      <c r="I218" s="18">
        <v>8893.89</v>
      </c>
      <c r="J218" s="18">
        <v>816.84</v>
      </c>
      <c r="K218" s="18">
        <v>340</v>
      </c>
      <c r="L218" s="19">
        <f>SUM(F218:K218)</f>
        <v>209973.19000000003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137637.39+74949.37</f>
        <v>212586.76</v>
      </c>
      <c r="G220" s="18">
        <f>117091.36+32764.03</f>
        <v>149855.39000000001</v>
      </c>
      <c r="H220" s="18">
        <f>48051.63+419.88</f>
        <v>48471.509999999995</v>
      </c>
      <c r="I220" s="18">
        <f>1509.54+2646.25</f>
        <v>4155.79</v>
      </c>
      <c r="J220" s="18">
        <v>561.80999999999995</v>
      </c>
      <c r="K220" s="18">
        <v>25</v>
      </c>
      <c r="L220" s="19">
        <f t="shared" ref="L220:L226" si="2">SUM(F220:K220)</f>
        <v>415656.26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1099.09+13250+107380.76+44056.25+3918.13</f>
        <v>169704.22999999998</v>
      </c>
      <c r="G221" s="18">
        <f>8492.94+217.53+2621.74+47405.28+19536.14+307.45</f>
        <v>78581.08</v>
      </c>
      <c r="H221" s="18">
        <f>14750.5+1893+68047.9+26168.1+3609.51</f>
        <v>114469.01</v>
      </c>
      <c r="I221" s="18">
        <f>482.83+20363.95+15258.47+873.05</f>
        <v>36978.300000000003</v>
      </c>
      <c r="J221" s="18">
        <f>304.99+16458.79</f>
        <v>16763.780000000002</v>
      </c>
      <c r="K221" s="18">
        <v>1414.33</v>
      </c>
      <c r="L221" s="19">
        <f t="shared" si="2"/>
        <v>417910.73000000004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139499.09+11312.75</f>
        <v>150811.84</v>
      </c>
      <c r="G222" s="18">
        <f>64810.41+6910.08</f>
        <v>71720.490000000005</v>
      </c>
      <c r="H222" s="18">
        <f>42843.95+6169.25</f>
        <v>49013.2</v>
      </c>
      <c r="I222" s="18">
        <f>21910.24+2041.38</f>
        <v>23951.620000000003</v>
      </c>
      <c r="J222" s="18">
        <v>353.26</v>
      </c>
      <c r="K222" s="18">
        <f>4855.4+93.75</f>
        <v>4949.1499999999996</v>
      </c>
      <c r="L222" s="19">
        <f t="shared" si="2"/>
        <v>300799.56000000006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320776.15999999997</v>
      </c>
      <c r="G223" s="18">
        <v>133359.07</v>
      </c>
      <c r="H223" s="18">
        <v>34165.5</v>
      </c>
      <c r="I223" s="18">
        <v>1334.54</v>
      </c>
      <c r="J223" s="18">
        <v>0</v>
      </c>
      <c r="K223" s="18">
        <v>2895.56</v>
      </c>
      <c r="L223" s="19">
        <f t="shared" si="2"/>
        <v>492530.82999999996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284023.67999999999</v>
      </c>
      <c r="G225" s="18">
        <v>115829.53</v>
      </c>
      <c r="H225" s="18">
        <v>170414.97</v>
      </c>
      <c r="I225" s="18">
        <v>154466.38</v>
      </c>
      <c r="J225" s="18">
        <v>7908.84</v>
      </c>
      <c r="K225" s="18">
        <v>521</v>
      </c>
      <c r="L225" s="19">
        <f t="shared" si="2"/>
        <v>733164.39999999991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5039.9+22293.82+3298.72+71751.2</f>
        <v>102383.64</v>
      </c>
      <c r="G226" s="18">
        <f>353.69+3083.77+249.04+17850.04</f>
        <v>21536.54</v>
      </c>
      <c r="H226" s="18">
        <f>4512+33439.35+2452+5545.03</f>
        <v>45948.38</v>
      </c>
      <c r="I226" s="18">
        <f>8229.24+26747.53</f>
        <v>34976.769999999997</v>
      </c>
      <c r="J226" s="18">
        <v>0</v>
      </c>
      <c r="K226" s="18">
        <v>176.4</v>
      </c>
      <c r="L226" s="19">
        <f t="shared" si="2"/>
        <v>205021.72999999998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5356997.2499999991</v>
      </c>
      <c r="G229" s="41">
        <f>SUM(G215:G228)</f>
        <v>2469543.4300000002</v>
      </c>
      <c r="H229" s="41">
        <f>SUM(H215:H228)</f>
        <v>982308.74999999988</v>
      </c>
      <c r="I229" s="41">
        <f>SUM(I215:I228)</f>
        <v>366937.33000000007</v>
      </c>
      <c r="J229" s="41">
        <f>SUM(J215:J228)</f>
        <v>38990.020000000004</v>
      </c>
      <c r="K229" s="41">
        <f t="shared" si="3"/>
        <v>24389.59</v>
      </c>
      <c r="L229" s="41">
        <f t="shared" si="3"/>
        <v>9239166.3700000029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3372900.88</v>
      </c>
      <c r="G233" s="18">
        <v>1436771.93</v>
      </c>
      <c r="H233" s="18">
        <v>15636.47</v>
      </c>
      <c r="I233" s="18">
        <v>177082.8</v>
      </c>
      <c r="J233" s="18">
        <v>103623.84</v>
      </c>
      <c r="K233" s="18">
        <v>11650.17</v>
      </c>
      <c r="L233" s="19">
        <f>SUM(F233:K233)</f>
        <v>5117666.0899999989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937545.24</v>
      </c>
      <c r="G234" s="18">
        <v>426960.67</v>
      </c>
      <c r="H234" s="18">
        <v>989576.42</v>
      </c>
      <c r="I234" s="18">
        <v>5216.7299999999996</v>
      </c>
      <c r="J234" s="18">
        <v>6489.8</v>
      </c>
      <c r="K234" s="18">
        <v>1264.8499999999999</v>
      </c>
      <c r="L234" s="19">
        <f>SUM(F234:K234)</f>
        <v>2367053.71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494789.69</v>
      </c>
      <c r="I235" s="18"/>
      <c r="J235" s="18"/>
      <c r="K235" s="18"/>
      <c r="L235" s="19">
        <f>SUM(F235:K235)</f>
        <v>494789.69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119786.35+17997.83</f>
        <v>137784.18</v>
      </c>
      <c r="G236" s="18">
        <f>37594.83+3966.21</f>
        <v>41561.040000000001</v>
      </c>
      <c r="H236" s="18">
        <v>116776.36</v>
      </c>
      <c r="I236" s="18">
        <v>34203</v>
      </c>
      <c r="J236" s="18">
        <v>30175.3</v>
      </c>
      <c r="K236" s="18">
        <v>30319.73</v>
      </c>
      <c r="L236" s="19">
        <f>SUM(F236:K236)</f>
        <v>390819.61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352132.93+79778.43</f>
        <v>431911.36</v>
      </c>
      <c r="G238" s="18">
        <f>86152.29+25759.92</f>
        <v>111912.20999999999</v>
      </c>
      <c r="H238" s="18">
        <f>13345+661.73</f>
        <v>14006.73</v>
      </c>
      <c r="I238" s="18">
        <f>5225.57+5578.78</f>
        <v>10804.349999999999</v>
      </c>
      <c r="J238" s="18">
        <f>1221.41</f>
        <v>1221.4100000000001</v>
      </c>
      <c r="K238" s="18">
        <f>710+139.4</f>
        <v>849.4</v>
      </c>
      <c r="L238" s="19">
        <f t="shared" ref="L238:L244" si="4">SUM(F238:K238)</f>
        <v>570705.46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75637+94027.95+20882+116102.36+69432.65</f>
        <v>376081.95999999996</v>
      </c>
      <c r="G239" s="18">
        <f>43506.49+30093.2+4131.86+45982.67+30788.96</f>
        <v>154503.18</v>
      </c>
      <c r="H239" s="18">
        <f>23246.79+13384.87+514.21+107243.48</f>
        <v>144389.35</v>
      </c>
      <c r="I239" s="18">
        <f>760.94+21129.02+24047.35</f>
        <v>45937.31</v>
      </c>
      <c r="J239" s="18">
        <f>17825.87+25939.06</f>
        <v>43764.93</v>
      </c>
      <c r="K239" s="18">
        <v>0</v>
      </c>
      <c r="L239" s="19">
        <f t="shared" si="4"/>
        <v>764676.72999999986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6174.97+219850.57+17828.89</f>
        <v>243854.43</v>
      </c>
      <c r="G240" s="18">
        <f>484.53+102141.21+10890.29</f>
        <v>113516.03</v>
      </c>
      <c r="H240" s="18">
        <f>41240.93+5688.58+67522.07+9722.74</f>
        <v>124174.32000000002</v>
      </c>
      <c r="I240" s="18">
        <f>1375.93+34530.53+3217.22</f>
        <v>39123.68</v>
      </c>
      <c r="J240" s="18">
        <f>556.74</f>
        <v>556.74</v>
      </c>
      <c r="K240" s="18">
        <f>2228.98+7652.11+147.75</f>
        <v>10028.84</v>
      </c>
      <c r="L240" s="19">
        <f t="shared" si="4"/>
        <v>531254.03999999992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337721.87</v>
      </c>
      <c r="G241" s="18">
        <v>147783.62</v>
      </c>
      <c r="H241" s="18">
        <v>56987.63</v>
      </c>
      <c r="I241" s="18">
        <v>23040.25</v>
      </c>
      <c r="J241" s="18">
        <v>0</v>
      </c>
      <c r="K241" s="18">
        <v>18975.36</v>
      </c>
      <c r="L241" s="19">
        <f t="shared" si="4"/>
        <v>584508.73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347427.5</v>
      </c>
      <c r="G243" s="18">
        <v>164105.14000000001</v>
      </c>
      <c r="H243" s="18">
        <v>367988.81</v>
      </c>
      <c r="I243" s="18">
        <v>291370.75</v>
      </c>
      <c r="J243" s="18">
        <v>7857.91</v>
      </c>
      <c r="K243" s="18">
        <v>821.1</v>
      </c>
      <c r="L243" s="19">
        <f t="shared" si="4"/>
        <v>1179571.21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5957.3+27348.29+19908.72+33231.82+113079.9</f>
        <v>199526.03</v>
      </c>
      <c r="G244" s="18">
        <f>431.94+3782.92+2815.31+2326.79+28131.67</f>
        <v>37488.629999999997</v>
      </c>
      <c r="H244" s="18">
        <f>5583+41020.75+16848+17757.56+8738.97</f>
        <v>89948.28</v>
      </c>
      <c r="I244" s="18">
        <f>9223.98+42154.11</f>
        <v>51378.09</v>
      </c>
      <c r="J244" s="18"/>
      <c r="K244" s="18">
        <f>278</f>
        <v>278</v>
      </c>
      <c r="L244" s="19">
        <f t="shared" si="4"/>
        <v>378619.03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6384753.4500000002</v>
      </c>
      <c r="G247" s="41">
        <f t="shared" si="5"/>
        <v>2634602.4499999997</v>
      </c>
      <c r="H247" s="41">
        <f t="shared" si="5"/>
        <v>2414274.06</v>
      </c>
      <c r="I247" s="41">
        <f t="shared" si="5"/>
        <v>678156.96</v>
      </c>
      <c r="J247" s="41">
        <f t="shared" si="5"/>
        <v>193689.93</v>
      </c>
      <c r="K247" s="41">
        <f t="shared" si="5"/>
        <v>74187.450000000012</v>
      </c>
      <c r="L247" s="41">
        <f t="shared" si="5"/>
        <v>12379664.299999999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718300.49</v>
      </c>
      <c r="I255" s="18"/>
      <c r="J255" s="18"/>
      <c r="K255" s="18"/>
      <c r="L255" s="19">
        <f t="shared" si="6"/>
        <v>718300.49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718300.49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718300.49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18401120.059999999</v>
      </c>
      <c r="G257" s="41">
        <f t="shared" si="8"/>
        <v>8293641.6799999997</v>
      </c>
      <c r="H257" s="41">
        <f t="shared" si="8"/>
        <v>5011949.03</v>
      </c>
      <c r="I257" s="41">
        <f t="shared" si="8"/>
        <v>1547739.67</v>
      </c>
      <c r="J257" s="41">
        <f t="shared" si="8"/>
        <v>308962.45999999996</v>
      </c>
      <c r="K257" s="41">
        <f t="shared" si="8"/>
        <v>123137.76000000001</v>
      </c>
      <c r="L257" s="41">
        <f t="shared" si="8"/>
        <v>33686550.660000004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1320000</v>
      </c>
      <c r="L260" s="19">
        <f>SUM(F260:K260)</f>
        <v>1320000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922550</v>
      </c>
      <c r="L261" s="19">
        <f>SUM(F261:K261)</f>
        <v>922550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1152326.52</v>
      </c>
      <c r="L266" s="19">
        <f t="shared" si="9"/>
        <v>1152326.52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3394876.52</v>
      </c>
      <c r="L270" s="41">
        <f t="shared" si="9"/>
        <v>3394876.52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18401120.059999999</v>
      </c>
      <c r="G271" s="42">
        <f t="shared" si="11"/>
        <v>8293641.6799999997</v>
      </c>
      <c r="H271" s="42">
        <f t="shared" si="11"/>
        <v>5011949.03</v>
      </c>
      <c r="I271" s="42">
        <f t="shared" si="11"/>
        <v>1547739.67</v>
      </c>
      <c r="J271" s="42">
        <f t="shared" si="11"/>
        <v>308962.45999999996</v>
      </c>
      <c r="K271" s="42">
        <f t="shared" si="11"/>
        <v>3518014.2800000003</v>
      </c>
      <c r="L271" s="42">
        <f t="shared" si="11"/>
        <v>37081427.180000007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3664.44+105439.59+2613.7-250.74</f>
        <v>111466.98999999999</v>
      </c>
      <c r="G276" s="18">
        <v>32096.3</v>
      </c>
      <c r="H276" s="18">
        <v>26.24</v>
      </c>
      <c r="I276" s="18">
        <f>9881.31+23.06+28.48</f>
        <v>9932.8499999999985</v>
      </c>
      <c r="J276" s="18">
        <v>418.3</v>
      </c>
      <c r="K276" s="18"/>
      <c r="L276" s="19">
        <f>SUM(F276:K276)</f>
        <v>153940.67999999996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112555.72</v>
      </c>
      <c r="G277" s="18">
        <f>1282.07+444.91</f>
        <v>1726.98</v>
      </c>
      <c r="H277" s="18">
        <f>1123.02+44744.59+200</f>
        <v>46067.609999999993</v>
      </c>
      <c r="I277" s="18">
        <f>9926.73+2625.44</f>
        <v>12552.17</v>
      </c>
      <c r="J277" s="18">
        <f>1478</f>
        <v>1478</v>
      </c>
      <c r="K277" s="18"/>
      <c r="L277" s="19">
        <f>SUM(F277:K277)</f>
        <v>174380.48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17132.810000000001</v>
      </c>
      <c r="G279" s="18">
        <v>3397.68</v>
      </c>
      <c r="H279" s="18">
        <v>156.19999999999999</v>
      </c>
      <c r="I279" s="18"/>
      <c r="J279" s="18"/>
      <c r="K279" s="18"/>
      <c r="L279" s="19">
        <f>SUM(F279:K279)</f>
        <v>20686.690000000002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1538.18+50</f>
        <v>1588.18</v>
      </c>
      <c r="I281" s="18"/>
      <c r="J281" s="18"/>
      <c r="K281" s="18">
        <v>24054.76</v>
      </c>
      <c r="L281" s="19">
        <f t="shared" ref="L281:L287" si="12">SUM(F281:K281)</f>
        <v>25642.94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14570.31+10067+8010</f>
        <v>32647.309999999998</v>
      </c>
      <c r="G282" s="18">
        <f>3312.2+2131.86+1641.32</f>
        <v>7085.3799999999992</v>
      </c>
      <c r="H282" s="18">
        <f>9814.2+1010.4+17829.35+94.73+1918+1704.53</f>
        <v>32371.209999999995</v>
      </c>
      <c r="I282" s="18">
        <f>963.17+1637.6+92.28+1301.12</f>
        <v>3994.17</v>
      </c>
      <c r="J282" s="18"/>
      <c r="K282" s="18">
        <v>132.91999999999999</v>
      </c>
      <c r="L282" s="19">
        <f t="shared" si="12"/>
        <v>76230.989999999991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4268.93</v>
      </c>
      <c r="L283" s="19">
        <f t="shared" si="12"/>
        <v>4268.93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f>2039.17+826.81+467.98</f>
        <v>3333.96</v>
      </c>
      <c r="G287" s="18">
        <v>280.58</v>
      </c>
      <c r="H287" s="18"/>
      <c r="I287" s="18"/>
      <c r="J287" s="18"/>
      <c r="K287" s="18"/>
      <c r="L287" s="19">
        <f t="shared" si="12"/>
        <v>3614.54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277136.78999999998</v>
      </c>
      <c r="G290" s="42">
        <f t="shared" si="13"/>
        <v>44586.92</v>
      </c>
      <c r="H290" s="42">
        <f t="shared" si="13"/>
        <v>80209.439999999988</v>
      </c>
      <c r="I290" s="42">
        <f t="shared" si="13"/>
        <v>26479.189999999995</v>
      </c>
      <c r="J290" s="42">
        <f t="shared" si="13"/>
        <v>1896.3</v>
      </c>
      <c r="K290" s="42">
        <f t="shared" si="13"/>
        <v>28456.609999999997</v>
      </c>
      <c r="L290" s="41">
        <f t="shared" si="13"/>
        <v>458765.24999999994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1835.46</v>
      </c>
      <c r="G295" s="18"/>
      <c r="H295" s="18">
        <v>18.43</v>
      </c>
      <c r="I295" s="18">
        <f>16.2+20</f>
        <v>36.200000000000003</v>
      </c>
      <c r="J295" s="18">
        <v>293.75</v>
      </c>
      <c r="K295" s="18"/>
      <c r="L295" s="19">
        <f>SUM(F295:K295)</f>
        <v>2183.84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38999.18+7069.62</f>
        <v>46068.800000000003</v>
      </c>
      <c r="G296" s="18">
        <f>575.95+312.44+1497.1</f>
        <v>2385.4899999999998</v>
      </c>
      <c r="H296" s="18">
        <f>728.23+29034.35+11561.55</f>
        <v>41324.129999999997</v>
      </c>
      <c r="I296" s="18">
        <f>6437.05</f>
        <v>6437.05</v>
      </c>
      <c r="J296" s="18">
        <f>958.42</f>
        <v>958.42</v>
      </c>
      <c r="K296" s="18"/>
      <c r="L296" s="19">
        <f>SUM(F296:K296)</f>
        <v>97173.89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>
        <v>16892.39</v>
      </c>
      <c r="L300" s="19">
        <f t="shared" ref="L300:L306" si="14">SUM(F300:K300)</f>
        <v>16892.39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5625</v>
      </c>
      <c r="G301" s="18">
        <f>1152.61</f>
        <v>1152.6099999999999</v>
      </c>
      <c r="H301" s="18">
        <f>655.2+61.43+1346.91+1197</f>
        <v>3260.54</v>
      </c>
      <c r="I301" s="18">
        <f>676.39+1150+64.8+1041.56</f>
        <v>2932.75</v>
      </c>
      <c r="J301" s="18"/>
      <c r="K301" s="18">
        <v>93.35</v>
      </c>
      <c r="L301" s="19">
        <f t="shared" si="14"/>
        <v>13064.25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f>328.64</f>
        <v>328.64</v>
      </c>
      <c r="G306" s="18"/>
      <c r="H306" s="18"/>
      <c r="I306" s="18"/>
      <c r="J306" s="18"/>
      <c r="K306" s="18"/>
      <c r="L306" s="19">
        <f t="shared" si="14"/>
        <v>328.64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53857.9</v>
      </c>
      <c r="G309" s="42">
        <f t="shared" si="15"/>
        <v>3538.0999999999995</v>
      </c>
      <c r="H309" s="42">
        <f t="shared" si="15"/>
        <v>44603.1</v>
      </c>
      <c r="I309" s="42">
        <f t="shared" si="15"/>
        <v>9406</v>
      </c>
      <c r="J309" s="42">
        <f t="shared" si="15"/>
        <v>1252.17</v>
      </c>
      <c r="K309" s="42">
        <f t="shared" si="15"/>
        <v>16985.739999999998</v>
      </c>
      <c r="L309" s="41">
        <f t="shared" si="15"/>
        <v>129643.01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2892.68</v>
      </c>
      <c r="G314" s="18"/>
      <c r="H314" s="18">
        <v>29.04</v>
      </c>
      <c r="I314" s="18">
        <f>25.52+31.52</f>
        <v>57.04</v>
      </c>
      <c r="J314" s="18">
        <v>462.95</v>
      </c>
      <c r="K314" s="18"/>
      <c r="L314" s="19">
        <f>SUM(F314:K314)</f>
        <v>3441.7099999999996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45682.04+11141.72</f>
        <v>56823.76</v>
      </c>
      <c r="G315" s="18">
        <f>484.43+492.41+2359.42</f>
        <v>3336.26</v>
      </c>
      <c r="H315" s="18">
        <f>816.26+32544+12959.1+2122.73</f>
        <v>48442.090000000004</v>
      </c>
      <c r="I315" s="18">
        <f>7215.15</f>
        <v>7215.15</v>
      </c>
      <c r="J315" s="18">
        <f>1074.27</f>
        <v>1074.27</v>
      </c>
      <c r="K315" s="18"/>
      <c r="L315" s="19">
        <f>SUM(F315:K315)</f>
        <v>116891.53000000001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>
        <v>26622.400000000001</v>
      </c>
      <c r="L319" s="19">
        <f t="shared" ref="L319:L325" si="16">SUM(F319:K319)</f>
        <v>26622.400000000001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8865</v>
      </c>
      <c r="G320" s="18">
        <f>1816.51</f>
        <v>1816.51</v>
      </c>
      <c r="H320" s="18">
        <f>734.4+68.85+1886.47</f>
        <v>2689.7200000000003</v>
      </c>
      <c r="I320" s="18">
        <f>1065.98+1812.4+102.12+1588</f>
        <v>4568.5</v>
      </c>
      <c r="J320" s="18"/>
      <c r="K320" s="18">
        <v>147.11000000000001</v>
      </c>
      <c r="L320" s="19">
        <f t="shared" si="16"/>
        <v>18086.84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f>517.93</f>
        <v>517.92999999999995</v>
      </c>
      <c r="G325" s="18"/>
      <c r="H325" s="18"/>
      <c r="I325" s="18"/>
      <c r="J325" s="18"/>
      <c r="K325" s="18"/>
      <c r="L325" s="19">
        <f t="shared" si="16"/>
        <v>517.92999999999995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69099.37</v>
      </c>
      <c r="G328" s="42">
        <f t="shared" si="17"/>
        <v>5152.7700000000004</v>
      </c>
      <c r="H328" s="42">
        <f t="shared" si="17"/>
        <v>51160.850000000006</v>
      </c>
      <c r="I328" s="42">
        <f t="shared" si="17"/>
        <v>11840.689999999999</v>
      </c>
      <c r="J328" s="42">
        <f t="shared" si="17"/>
        <v>1537.22</v>
      </c>
      <c r="K328" s="42">
        <f t="shared" si="17"/>
        <v>26769.510000000002</v>
      </c>
      <c r="L328" s="41">
        <f t="shared" si="17"/>
        <v>165560.41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41770</v>
      </c>
      <c r="G333" s="18">
        <v>29515.8</v>
      </c>
      <c r="H333" s="18">
        <f>1843.72+4450</f>
        <v>6293.72</v>
      </c>
      <c r="I333" s="18">
        <v>4235.9399999999996</v>
      </c>
      <c r="J333" s="18">
        <v>1381.46</v>
      </c>
      <c r="K333" s="18">
        <v>1849.57</v>
      </c>
      <c r="L333" s="19">
        <f t="shared" si="18"/>
        <v>85046.49000000002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41770</v>
      </c>
      <c r="G337" s="41">
        <f t="shared" si="19"/>
        <v>29515.8</v>
      </c>
      <c r="H337" s="41">
        <f t="shared" si="19"/>
        <v>6293.72</v>
      </c>
      <c r="I337" s="41">
        <f t="shared" si="19"/>
        <v>4235.9399999999996</v>
      </c>
      <c r="J337" s="41">
        <f t="shared" si="19"/>
        <v>1381.46</v>
      </c>
      <c r="K337" s="41">
        <f t="shared" si="19"/>
        <v>1849.57</v>
      </c>
      <c r="L337" s="41">
        <f t="shared" si="18"/>
        <v>85046.49000000002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441864.06</v>
      </c>
      <c r="G338" s="41">
        <f t="shared" si="20"/>
        <v>82793.59</v>
      </c>
      <c r="H338" s="41">
        <f t="shared" si="20"/>
        <v>182267.11</v>
      </c>
      <c r="I338" s="41">
        <f t="shared" si="20"/>
        <v>51961.819999999992</v>
      </c>
      <c r="J338" s="41">
        <f t="shared" si="20"/>
        <v>6067.1500000000005</v>
      </c>
      <c r="K338" s="41">
        <f t="shared" si="20"/>
        <v>74061.429999999993</v>
      </c>
      <c r="L338" s="41">
        <f t="shared" si="20"/>
        <v>839015.15999999992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441864.06</v>
      </c>
      <c r="G352" s="41">
        <f>G338</f>
        <v>82793.59</v>
      </c>
      <c r="H352" s="41">
        <f>H338</f>
        <v>182267.11</v>
      </c>
      <c r="I352" s="41">
        <f>I338</f>
        <v>51961.819999999992</v>
      </c>
      <c r="J352" s="41">
        <f>J338</f>
        <v>6067.1500000000005</v>
      </c>
      <c r="K352" s="47">
        <f>K338+K351</f>
        <v>74061.429999999993</v>
      </c>
      <c r="L352" s="41">
        <f>L338+L351</f>
        <v>839015.15999999992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212128.18</v>
      </c>
      <c r="I358" s="18">
        <v>11581.62</v>
      </c>
      <c r="J358" s="18">
        <v>6471.42</v>
      </c>
      <c r="K358" s="18"/>
      <c r="L358" s="13">
        <f>SUM(F358:K358)</f>
        <v>230181.22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148966.42000000001</v>
      </c>
      <c r="I359" s="18">
        <v>8133.16</v>
      </c>
      <c r="J359" s="18">
        <v>4544.54</v>
      </c>
      <c r="K359" s="18"/>
      <c r="L359" s="19">
        <f>SUM(F359:K359)</f>
        <v>161644.12000000002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234771.07</v>
      </c>
      <c r="I360" s="18">
        <v>12817.86</v>
      </c>
      <c r="J360" s="18">
        <v>7162.19</v>
      </c>
      <c r="K360" s="18"/>
      <c r="L360" s="19">
        <f>SUM(F360:K360)</f>
        <v>254751.12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595865.66999999993</v>
      </c>
      <c r="I362" s="47">
        <f t="shared" si="22"/>
        <v>32532.639999999999</v>
      </c>
      <c r="J362" s="47">
        <f t="shared" si="22"/>
        <v>18178.149999999998</v>
      </c>
      <c r="K362" s="47">
        <f t="shared" si="22"/>
        <v>0</v>
      </c>
      <c r="L362" s="47">
        <f t="shared" si="22"/>
        <v>646576.46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11581.62</v>
      </c>
      <c r="G368" s="63">
        <v>8133.16</v>
      </c>
      <c r="H368" s="63">
        <v>12817.86</v>
      </c>
      <c r="I368" s="56">
        <f>SUM(F368:H368)</f>
        <v>32532.639999999999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11581.62</v>
      </c>
      <c r="G369" s="47">
        <f>SUM(G367:G368)</f>
        <v>8133.16</v>
      </c>
      <c r="H369" s="47">
        <f>SUM(H367:H368)</f>
        <v>12817.86</v>
      </c>
      <c r="I369" s="47">
        <f>SUM(I367:I368)</f>
        <v>32532.639999999999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5126.6000000000004</v>
      </c>
      <c r="I375" s="18"/>
      <c r="J375" s="18"/>
      <c r="K375" s="18"/>
      <c r="L375" s="13">
        <f t="shared" ref="L375:L381" si="23">SUM(F375:K375)</f>
        <v>5126.6000000000004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27807.86</v>
      </c>
      <c r="I376" s="18"/>
      <c r="J376" s="18"/>
      <c r="K376" s="18"/>
      <c r="L376" s="13">
        <f t="shared" si="23"/>
        <v>27807.86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4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63450</v>
      </c>
      <c r="I378" s="18">
        <v>0</v>
      </c>
      <c r="J378" s="18"/>
      <c r="K378" s="18"/>
      <c r="L378" s="13">
        <f t="shared" si="23"/>
        <v>63450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80333.41+26153.76</f>
        <v>106487.17</v>
      </c>
      <c r="I379" s="18"/>
      <c r="J379" s="18"/>
      <c r="K379" s="18"/>
      <c r="L379" s="13">
        <f t="shared" si="23"/>
        <v>106487.17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202871.63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202871.63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1152326.52</v>
      </c>
      <c r="H389" s="18">
        <v>6808.48</v>
      </c>
      <c r="I389" s="18"/>
      <c r="J389" s="24" t="s">
        <v>289</v>
      </c>
      <c r="K389" s="24" t="s">
        <v>289</v>
      </c>
      <c r="L389" s="56">
        <f t="shared" si="25"/>
        <v>1159135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1152326.52</v>
      </c>
      <c r="H393" s="139">
        <f>SUM(H387:H392)</f>
        <v>6808.48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1159135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671.82</v>
      </c>
      <c r="I400" s="18"/>
      <c r="J400" s="24" t="s">
        <v>289</v>
      </c>
      <c r="K400" s="24" t="s">
        <v>289</v>
      </c>
      <c r="L400" s="56">
        <f t="shared" si="26"/>
        <v>671.82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671.82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671.82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1152326.52</v>
      </c>
      <c r="H408" s="47">
        <f>H393+H401+H407</f>
        <v>7480.2999999999993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1159806.82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1535620.54+1557932.23+393276.52</f>
        <v>3486829.29</v>
      </c>
      <c r="G440" s="18">
        <f>49959.87+255013.06</f>
        <v>304972.93</v>
      </c>
      <c r="H440" s="18"/>
      <c r="I440" s="56">
        <f t="shared" si="33"/>
        <v>3791802.22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3486829.29</v>
      </c>
      <c r="G446" s="13">
        <f>SUM(G439:G445)</f>
        <v>304972.93</v>
      </c>
      <c r="H446" s="13">
        <f>SUM(H439:H445)</f>
        <v>0</v>
      </c>
      <c r="I446" s="13">
        <f>SUM(I439:I445)</f>
        <v>3791802.22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F440</f>
        <v>3486829.29</v>
      </c>
      <c r="G459" s="18">
        <f>G440</f>
        <v>304972.93</v>
      </c>
      <c r="H459" s="18"/>
      <c r="I459" s="56">
        <f t="shared" si="34"/>
        <v>3791802.22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3486829.29</v>
      </c>
      <c r="G460" s="83">
        <f>SUM(G454:G459)</f>
        <v>304972.93</v>
      </c>
      <c r="H460" s="83">
        <f>SUM(H454:H459)</f>
        <v>0</v>
      </c>
      <c r="I460" s="83">
        <f>SUM(I454:I459)</f>
        <v>3791802.22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3486829.29</v>
      </c>
      <c r="G461" s="42">
        <f>G452+G460</f>
        <v>304972.93</v>
      </c>
      <c r="H461" s="42">
        <f>H452+H460</f>
        <v>0</v>
      </c>
      <c r="I461" s="42">
        <f>I452+I460</f>
        <v>3791802.22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4628355.43</v>
      </c>
      <c r="G465" s="18">
        <v>12626.32</v>
      </c>
      <c r="H465" s="18">
        <v>525728.67000000004</v>
      </c>
      <c r="I465" s="18">
        <v>239390.53</v>
      </c>
      <c r="J465" s="18">
        <f>2327694.29+304301.11</f>
        <v>2631995.4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36255834.18</v>
      </c>
      <c r="G468" s="18">
        <f>G193</f>
        <v>649501.72</v>
      </c>
      <c r="H468" s="18">
        <f>H193</f>
        <v>855937.67999999993</v>
      </c>
      <c r="I468" s="18">
        <f>I193</f>
        <v>0</v>
      </c>
      <c r="J468" s="18">
        <f>J193</f>
        <v>1159806.82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36255834.18</v>
      </c>
      <c r="G470" s="53">
        <f>SUM(G468:G469)</f>
        <v>649501.72</v>
      </c>
      <c r="H470" s="53">
        <f>SUM(H468:H469)</f>
        <v>855937.67999999993</v>
      </c>
      <c r="I470" s="53">
        <f>SUM(I468:I469)</f>
        <v>0</v>
      </c>
      <c r="J470" s="53">
        <f>SUM(J468:J469)</f>
        <v>1159806.82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37081427.180000007</v>
      </c>
      <c r="G472" s="18">
        <f>L362</f>
        <v>646576.46</v>
      </c>
      <c r="H472" s="18">
        <f>L352</f>
        <v>839015.15999999992</v>
      </c>
      <c r="I472" s="18">
        <f>L382</f>
        <v>202871.63</v>
      </c>
      <c r="J472" s="18">
        <f>L434</f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33612.68</v>
      </c>
      <c r="G473" s="18">
        <v>12626.32</v>
      </c>
      <c r="H473" s="18">
        <v>525728.67000000004</v>
      </c>
      <c r="I473" s="18">
        <v>25118.99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37115039.860000007</v>
      </c>
      <c r="G474" s="53">
        <f>SUM(G472:G473)</f>
        <v>659202.77999999991</v>
      </c>
      <c r="H474" s="53">
        <f>SUM(H472:H473)</f>
        <v>1364743.83</v>
      </c>
      <c r="I474" s="53">
        <f>SUM(I472:I473)</f>
        <v>227990.62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3769149.7499999925</v>
      </c>
      <c r="G476" s="53">
        <f>(G465+G470)- G474</f>
        <v>2925.2600000000093</v>
      </c>
      <c r="H476" s="53">
        <f>(H465+H470)- H474</f>
        <v>16922.520000000019</v>
      </c>
      <c r="I476" s="53">
        <f>(I465+I470)- I474</f>
        <v>11399.910000000003</v>
      </c>
      <c r="J476" s="53">
        <f>(J465+J470)- J474</f>
        <v>3791802.2199999997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916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8" t="s">
        <v>916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678550</v>
      </c>
      <c r="G493" s="18">
        <v>23650000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2.23</v>
      </c>
      <c r="G494" s="18" t="s">
        <v>915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405000</v>
      </c>
      <c r="G495" s="18">
        <v>22470000</v>
      </c>
      <c r="H495" s="18"/>
      <c r="I495" s="18"/>
      <c r="J495" s="18"/>
      <c r="K495" s="53">
        <f>SUM(F495:J495)</f>
        <v>22875000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135000</v>
      </c>
      <c r="G497" s="18">
        <v>1185000</v>
      </c>
      <c r="H497" s="18"/>
      <c r="I497" s="18"/>
      <c r="J497" s="18"/>
      <c r="K497" s="53">
        <f t="shared" si="35"/>
        <v>1320000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270000</v>
      </c>
      <c r="G498" s="204">
        <v>21285000</v>
      </c>
      <c r="H498" s="204"/>
      <c r="I498" s="204"/>
      <c r="J498" s="204"/>
      <c r="K498" s="205">
        <f t="shared" si="35"/>
        <v>21555000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16200</v>
      </c>
      <c r="G499" s="18">
        <v>8044850</v>
      </c>
      <c r="H499" s="18"/>
      <c r="I499" s="18"/>
      <c r="J499" s="18"/>
      <c r="K499" s="53">
        <f t="shared" si="35"/>
        <v>8061050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286200</v>
      </c>
      <c r="G500" s="42">
        <f>SUM(G498:G499)</f>
        <v>29329850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29616050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135000</v>
      </c>
      <c r="G501" s="204">
        <v>1185000</v>
      </c>
      <c r="H501" s="204"/>
      <c r="I501" s="204"/>
      <c r="J501" s="204"/>
      <c r="K501" s="205">
        <f t="shared" si="35"/>
        <v>1320000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10800</v>
      </c>
      <c r="G502" s="18">
        <v>860300</v>
      </c>
      <c r="H502" s="18"/>
      <c r="I502" s="18"/>
      <c r="J502" s="18"/>
      <c r="K502" s="53">
        <f t="shared" si="35"/>
        <v>871100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145800</v>
      </c>
      <c r="G503" s="42">
        <f>SUM(G501:G502)</f>
        <v>2045300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2191100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F198+F277-F526-F531</f>
        <v>1329074.9499999997</v>
      </c>
      <c r="G521" s="18">
        <f>G198+G277-G526-G531</f>
        <v>795269.11</v>
      </c>
      <c r="H521" s="18">
        <f>H198+H277-H526-H531</f>
        <v>101186.95999999998</v>
      </c>
      <c r="I521" s="18">
        <f>I198+I277</f>
        <v>21182.54</v>
      </c>
      <c r="J521" s="18">
        <f>J198+J277</f>
        <v>18813.5</v>
      </c>
      <c r="K521" s="18">
        <f>K198+K277</f>
        <v>1740.19</v>
      </c>
      <c r="L521" s="88">
        <f>SUM(F521:K521)</f>
        <v>2267267.2499999995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F216+F296-F527-F532</f>
        <v>979567.69000000006</v>
      </c>
      <c r="G522" s="18">
        <f>G216+G296-G527-G532</f>
        <v>675768.64</v>
      </c>
      <c r="H522" s="18">
        <f>H216-H296-H527-H532</f>
        <v>371421.64</v>
      </c>
      <c r="I522" s="18">
        <f>I216+I296</f>
        <v>21343.34</v>
      </c>
      <c r="J522" s="18">
        <f>J216+J296</f>
        <v>8106.03</v>
      </c>
      <c r="K522" s="18">
        <f>K216+K296</f>
        <v>1128.43</v>
      </c>
      <c r="L522" s="88">
        <f>SUM(F522:K522)</f>
        <v>2057335.7700000003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F234+F315-F528-F533</f>
        <v>688663.47</v>
      </c>
      <c r="G523" s="18">
        <f>G234+G315-G528-G533</f>
        <v>383567.01</v>
      </c>
      <c r="H523" s="18">
        <f>H234+H315-H528-H533</f>
        <v>944352.48</v>
      </c>
      <c r="I523" s="18">
        <f>I234+I315</f>
        <v>12431.88</v>
      </c>
      <c r="J523" s="18">
        <f>J234+J315</f>
        <v>7564.07</v>
      </c>
      <c r="K523" s="18">
        <f>K234+K296</f>
        <v>1264.8499999999999</v>
      </c>
      <c r="L523" s="88">
        <f>SUM(F523:K523)</f>
        <v>2037843.76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2997306.1099999994</v>
      </c>
      <c r="G524" s="108">
        <f t="shared" ref="G524:L524" si="36">SUM(G521:G523)</f>
        <v>1854604.76</v>
      </c>
      <c r="H524" s="108">
        <f t="shared" si="36"/>
        <v>1416961.08</v>
      </c>
      <c r="I524" s="108">
        <f t="shared" si="36"/>
        <v>54957.760000000002</v>
      </c>
      <c r="J524" s="108">
        <f t="shared" si="36"/>
        <v>34483.599999999999</v>
      </c>
      <c r="K524" s="108">
        <f t="shared" si="36"/>
        <v>4133.4699999999993</v>
      </c>
      <c r="L524" s="89">
        <f t="shared" si="36"/>
        <v>6362446.7799999993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315836.95+31942.47</f>
        <v>347779.42000000004</v>
      </c>
      <c r="G526" s="18">
        <v>30156.37</v>
      </c>
      <c r="H526" s="18">
        <f>75900.43+44774.59</f>
        <v>120675.01999999999</v>
      </c>
      <c r="I526" s="18">
        <f>2031.47</f>
        <v>2031.47</v>
      </c>
      <c r="J526" s="18">
        <v>3759.8</v>
      </c>
      <c r="K526" s="18"/>
      <c r="L526" s="88">
        <f>SUM(F526:K526)</f>
        <v>504402.08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204806.39+20713.29</f>
        <v>225519.68000000002</v>
      </c>
      <c r="G527" s="18">
        <v>19555.080000000002</v>
      </c>
      <c r="H527" s="18">
        <f>49218.1+29034.35</f>
        <v>78252.45</v>
      </c>
      <c r="I527" s="18">
        <v>1317.32</v>
      </c>
      <c r="J527" s="18">
        <v>2438.06</v>
      </c>
      <c r="K527" s="18"/>
      <c r="L527" s="88">
        <f>SUM(F527:K527)</f>
        <v>327082.59000000003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229563.2+23217.1</f>
        <v>252780.30000000002</v>
      </c>
      <c r="G528" s="18">
        <v>21918.880000000001</v>
      </c>
      <c r="H528" s="18">
        <f>55167.52+32544</f>
        <v>87711.51999999999</v>
      </c>
      <c r="I528" s="18">
        <v>1476.55</v>
      </c>
      <c r="J528" s="18">
        <v>2732.77</v>
      </c>
      <c r="K528" s="18"/>
      <c r="L528" s="88">
        <f>SUM(F528:K528)</f>
        <v>366620.01999999996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826079.40000000014</v>
      </c>
      <c r="G529" s="89">
        <f t="shared" ref="G529:L529" si="37">SUM(G526:G528)</f>
        <v>71630.33</v>
      </c>
      <c r="H529" s="89">
        <f t="shared" si="37"/>
        <v>286638.99</v>
      </c>
      <c r="I529" s="89">
        <f t="shared" si="37"/>
        <v>4825.34</v>
      </c>
      <c r="J529" s="89">
        <f t="shared" si="37"/>
        <v>8930.630000000001</v>
      </c>
      <c r="K529" s="89">
        <f t="shared" si="37"/>
        <v>0</v>
      </c>
      <c r="L529" s="89">
        <f t="shared" si="37"/>
        <v>1198104.69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47820.77</v>
      </c>
      <c r="G531" s="18">
        <v>22418.1</v>
      </c>
      <c r="H531" s="18">
        <v>5380.21</v>
      </c>
      <c r="I531" s="18">
        <v>183.29</v>
      </c>
      <c r="J531" s="18"/>
      <c r="K531" s="18">
        <v>1471.52</v>
      </c>
      <c r="L531" s="88">
        <f>SUM(F531:K531)</f>
        <v>77273.89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33582</v>
      </c>
      <c r="G532" s="18">
        <v>15743.05</v>
      </c>
      <c r="H532" s="18">
        <v>3778.24</v>
      </c>
      <c r="I532" s="18">
        <v>128.72</v>
      </c>
      <c r="J532" s="18"/>
      <c r="K532" s="18">
        <v>1033.3699999999999</v>
      </c>
      <c r="L532" s="88">
        <f>SUM(F532:K532)</f>
        <v>54265.380000000005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52925.23</v>
      </c>
      <c r="G533" s="18">
        <v>24811.040000000001</v>
      </c>
      <c r="H533" s="18">
        <v>5954.51</v>
      </c>
      <c r="I533" s="18">
        <v>202.86</v>
      </c>
      <c r="J533" s="18"/>
      <c r="K533" s="18">
        <v>1628.59</v>
      </c>
      <c r="L533" s="88">
        <f>SUM(F533:K533)</f>
        <v>85522.23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134328</v>
      </c>
      <c r="G534" s="89">
        <f t="shared" ref="G534:L534" si="38">SUM(G531:G533)</f>
        <v>62972.189999999995</v>
      </c>
      <c r="H534" s="89">
        <f t="shared" si="38"/>
        <v>15112.960000000001</v>
      </c>
      <c r="I534" s="89">
        <f t="shared" si="38"/>
        <v>514.87</v>
      </c>
      <c r="J534" s="89">
        <f t="shared" si="38"/>
        <v>0</v>
      </c>
      <c r="K534" s="89">
        <f t="shared" si="38"/>
        <v>4133.4799999999996</v>
      </c>
      <c r="L534" s="89">
        <f t="shared" si="38"/>
        <v>217061.5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40616.28</v>
      </c>
      <c r="G541" s="18">
        <v>5618.21</v>
      </c>
      <c r="H541" s="18">
        <f>60921.9</f>
        <v>60921.9</v>
      </c>
      <c r="I541" s="18">
        <v>13564.67</v>
      </c>
      <c r="J541" s="18"/>
      <c r="K541" s="18"/>
      <c r="L541" s="88">
        <f>SUM(F541:K541)</f>
        <v>120721.06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22293.82</v>
      </c>
      <c r="G542" s="18">
        <v>3083.77</v>
      </c>
      <c r="H542" s="18">
        <f>33439.35</f>
        <v>33439.35</v>
      </c>
      <c r="I542" s="18">
        <v>7445.5</v>
      </c>
      <c r="J542" s="18"/>
      <c r="K542" s="18"/>
      <c r="L542" s="88">
        <f>SUM(F542:K542)</f>
        <v>66262.44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27348.29</v>
      </c>
      <c r="G543" s="18">
        <v>3782.92</v>
      </c>
      <c r="H543" s="18">
        <f>41020.75</f>
        <v>41020.75</v>
      </c>
      <c r="I543" s="18">
        <v>9133.5499999999993</v>
      </c>
      <c r="J543" s="18"/>
      <c r="K543" s="18"/>
      <c r="L543" s="88">
        <f>SUM(F543:K543)</f>
        <v>81285.509999999995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90258.39</v>
      </c>
      <c r="G544" s="193">
        <f t="shared" ref="G544:L544" si="40">SUM(G541:G543)</f>
        <v>12484.9</v>
      </c>
      <c r="H544" s="193">
        <f t="shared" si="40"/>
        <v>135382</v>
      </c>
      <c r="I544" s="193">
        <f t="shared" si="40"/>
        <v>30143.719999999998</v>
      </c>
      <c r="J544" s="193">
        <f t="shared" si="40"/>
        <v>0</v>
      </c>
      <c r="K544" s="193">
        <f t="shared" si="40"/>
        <v>0</v>
      </c>
      <c r="L544" s="193">
        <f t="shared" si="40"/>
        <v>268269.01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4047971.9</v>
      </c>
      <c r="G545" s="89">
        <f t="shared" ref="G545:L545" si="41">G524+G529+G534+G539+G544</f>
        <v>2001692.18</v>
      </c>
      <c r="H545" s="89">
        <f t="shared" si="41"/>
        <v>1854095.03</v>
      </c>
      <c r="I545" s="89">
        <f t="shared" si="41"/>
        <v>90441.69</v>
      </c>
      <c r="J545" s="89">
        <f t="shared" si="41"/>
        <v>43414.229999999996</v>
      </c>
      <c r="K545" s="89">
        <f t="shared" si="41"/>
        <v>8266.9499999999989</v>
      </c>
      <c r="L545" s="89">
        <f t="shared" si="41"/>
        <v>8045881.9799999986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2267267.2499999995</v>
      </c>
      <c r="G549" s="87">
        <f>L526</f>
        <v>504402.08</v>
      </c>
      <c r="H549" s="87">
        <f>L531</f>
        <v>77273.89</v>
      </c>
      <c r="I549" s="87">
        <f>L536</f>
        <v>0</v>
      </c>
      <c r="J549" s="87">
        <f>L541</f>
        <v>120721.06</v>
      </c>
      <c r="K549" s="87">
        <f>SUM(F549:J549)</f>
        <v>2969664.28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2057335.7700000003</v>
      </c>
      <c r="G550" s="87">
        <f>L527</f>
        <v>327082.59000000003</v>
      </c>
      <c r="H550" s="87">
        <f>L532</f>
        <v>54265.380000000005</v>
      </c>
      <c r="I550" s="87">
        <f>L537</f>
        <v>0</v>
      </c>
      <c r="J550" s="87">
        <f>L542</f>
        <v>66262.44</v>
      </c>
      <c r="K550" s="87">
        <f>SUM(F550:J550)</f>
        <v>2504946.1800000002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2037843.76</v>
      </c>
      <c r="G551" s="87">
        <f>L528</f>
        <v>366620.01999999996</v>
      </c>
      <c r="H551" s="87">
        <f>L533</f>
        <v>85522.23</v>
      </c>
      <c r="I551" s="87">
        <f>L538</f>
        <v>0</v>
      </c>
      <c r="J551" s="87">
        <f>L543</f>
        <v>81285.509999999995</v>
      </c>
      <c r="K551" s="87">
        <f>SUM(F551:J551)</f>
        <v>2571271.5199999996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6362446.7799999993</v>
      </c>
      <c r="G552" s="89">
        <f t="shared" si="42"/>
        <v>1198104.69</v>
      </c>
      <c r="H552" s="89">
        <f t="shared" si="42"/>
        <v>217061.5</v>
      </c>
      <c r="I552" s="89">
        <f t="shared" si="42"/>
        <v>0</v>
      </c>
      <c r="J552" s="89">
        <f t="shared" si="42"/>
        <v>268269.01</v>
      </c>
      <c r="K552" s="89">
        <f t="shared" si="42"/>
        <v>8045881.9799999995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12949.23</v>
      </c>
      <c r="G579" s="18">
        <v>52626.080000000002</v>
      </c>
      <c r="H579" s="18">
        <v>41046.35</v>
      </c>
      <c r="I579" s="87">
        <f t="shared" si="47"/>
        <v>106621.66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91705.8</v>
      </c>
      <c r="G580" s="18"/>
      <c r="H580" s="18">
        <v>45505.3</v>
      </c>
      <c r="I580" s="87">
        <f t="shared" si="47"/>
        <v>137211.1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393530.81</v>
      </c>
      <c r="H582" s="18">
        <v>835914.94</v>
      </c>
      <c r="I582" s="87">
        <f t="shared" si="47"/>
        <v>1229445.75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456827.9</v>
      </c>
      <c r="I585" s="87">
        <f t="shared" si="47"/>
        <v>456827.9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50561.79</v>
      </c>
      <c r="I586" s="87">
        <f t="shared" si="47"/>
        <v>50561.79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102173.71+25418.46+7021.95+38088.49+251.19</f>
        <v>172953.80000000002</v>
      </c>
      <c r="I591" s="18">
        <f>71751.2+17850.04+5545.03+26747.53+783.74+176.4</f>
        <v>122853.93999999999</v>
      </c>
      <c r="J591" s="18">
        <f>113079.9+28131.67+8738.97+42154.11+90.43+278</f>
        <v>192473.08000000002</v>
      </c>
      <c r="K591" s="104">
        <f t="shared" ref="K591:K597" si="48">SUM(H591:J591)</f>
        <v>488280.82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40616.28+5618.21+60921.9+13564.67</f>
        <v>120721.06</v>
      </c>
      <c r="I592" s="18">
        <f>22293.82+3083.77+33439.35+7445.5</f>
        <v>66262.44</v>
      </c>
      <c r="J592" s="18">
        <f>27348.29+3782.92+41020.75+9133.55</f>
        <v>81285.509999999995</v>
      </c>
      <c r="K592" s="104">
        <f t="shared" si="48"/>
        <v>268269.01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19908.72+2815.31+16848</f>
        <v>39572.03</v>
      </c>
      <c r="K593" s="104">
        <f t="shared" si="48"/>
        <v>39572.03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3298.72+249.04+2452</f>
        <v>5999.76</v>
      </c>
      <c r="J594" s="18">
        <f>33231.82+2326.79+17757.56</f>
        <v>53316.17</v>
      </c>
      <c r="K594" s="104">
        <f t="shared" si="48"/>
        <v>59315.93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6882.99+493.57+3188</f>
        <v>10564.56</v>
      </c>
      <c r="I595" s="18">
        <f>5039.9+353.69+4512</f>
        <v>9905.59</v>
      </c>
      <c r="J595" s="18">
        <f>5957.3+431.94+5583</f>
        <v>11972.24</v>
      </c>
      <c r="K595" s="104">
        <f t="shared" si="48"/>
        <v>32442.39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304239.42</v>
      </c>
      <c r="I598" s="108">
        <f>SUM(I591:I597)</f>
        <v>205021.73</v>
      </c>
      <c r="J598" s="108">
        <f>SUM(J591:J597)</f>
        <v>378619.02999999997</v>
      </c>
      <c r="K598" s="108">
        <f>SUM(K591:K597)</f>
        <v>887880.18000000017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78178.81</v>
      </c>
      <c r="I604" s="18">
        <f>J229+J309</f>
        <v>40242.19</v>
      </c>
      <c r="J604" s="18">
        <f>J247+J328+1381.46</f>
        <v>196608.61</v>
      </c>
      <c r="K604" s="104">
        <f>SUM(H604:J604)</f>
        <v>315029.61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78178.81</v>
      </c>
      <c r="I605" s="108">
        <f>SUM(I602:I604)</f>
        <v>40242.19</v>
      </c>
      <c r="J605" s="108">
        <f>SUM(J602:J604)</f>
        <v>196608.61</v>
      </c>
      <c r="K605" s="108">
        <f>SUM(K602:K604)</f>
        <v>315029.61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3794950.43</v>
      </c>
      <c r="H617" s="109">
        <f>SUM(F52)</f>
        <v>3794950.4300000006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53999.909999999996</v>
      </c>
      <c r="H618" s="109">
        <f>SUM(G52)</f>
        <v>53999.91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16922.52</v>
      </c>
      <c r="H619" s="109">
        <f>SUM(H52)</f>
        <v>16922.52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11399.909999999974</v>
      </c>
      <c r="H620" s="109">
        <f>SUM(I52)</f>
        <v>11399.91</v>
      </c>
      <c r="I620" s="121" t="s">
        <v>903</v>
      </c>
      <c r="J620" s="109">
        <f>G620-H620</f>
        <v>-2.5465851649641991E-11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3791802.22</v>
      </c>
      <c r="H621" s="109">
        <f>SUM(J52)</f>
        <v>3791802.22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3769149.7500000005</v>
      </c>
      <c r="H622" s="109">
        <f>F476</f>
        <v>3769149.7499999925</v>
      </c>
      <c r="I622" s="121" t="s">
        <v>101</v>
      </c>
      <c r="J622" s="109">
        <f t="shared" ref="J622:J655" si="50">G622-H622</f>
        <v>7.9162418842315674E-9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2925.26</v>
      </c>
      <c r="H623" s="109">
        <f>G476</f>
        <v>2925.2600000000093</v>
      </c>
      <c r="I623" s="121" t="s">
        <v>102</v>
      </c>
      <c r="J623" s="109">
        <f t="shared" si="50"/>
        <v>-9.0949470177292824E-12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16922.52</v>
      </c>
      <c r="H624" s="109">
        <f>H476</f>
        <v>16922.520000000019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11399.91</v>
      </c>
      <c r="H625" s="109">
        <f>I476</f>
        <v>11399.910000000003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3791802.22</v>
      </c>
      <c r="H626" s="109">
        <f>J476</f>
        <v>3791802.2199999997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36255834.18</v>
      </c>
      <c r="H627" s="104">
        <f>SUM(F468)</f>
        <v>36255834.18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649501.72</v>
      </c>
      <c r="H628" s="104">
        <f>SUM(G468)</f>
        <v>649501.72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855937.67999999993</v>
      </c>
      <c r="H629" s="104">
        <f>SUM(H468)</f>
        <v>855937.67999999993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1159806.82</v>
      </c>
      <c r="H631" s="104">
        <f>SUM(J468)</f>
        <v>1159806.82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37081427.180000007</v>
      </c>
      <c r="H632" s="104">
        <f>SUM(F472)</f>
        <v>37081427.180000007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839015.15999999992</v>
      </c>
      <c r="H633" s="104">
        <f>SUM(H472)</f>
        <v>839015.15999999992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32532.639999999999</v>
      </c>
      <c r="H634" s="104">
        <f>I369</f>
        <v>32532.639999999999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646576.46</v>
      </c>
      <c r="H635" s="104">
        <f>SUM(G472)</f>
        <v>646576.46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202871.63</v>
      </c>
      <c r="H636" s="104">
        <f>SUM(I472)</f>
        <v>202871.63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1159806.82</v>
      </c>
      <c r="H637" s="164">
        <f>SUM(J468)</f>
        <v>1159806.82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3486829.29</v>
      </c>
      <c r="H639" s="104">
        <f>SUM(F461)</f>
        <v>3486829.29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304972.93</v>
      </c>
      <c r="H640" s="104">
        <f>SUM(G461)</f>
        <v>304972.93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3791802.22</v>
      </c>
      <c r="H642" s="104">
        <f>SUM(I461)</f>
        <v>3791802.22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7480.2999999999993</v>
      </c>
      <c r="H644" s="104">
        <f>H408</f>
        <v>7480.2999999999993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1152326.52</v>
      </c>
      <c r="H645" s="104">
        <f>G408</f>
        <v>1152326.52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1159806.82</v>
      </c>
      <c r="H646" s="104">
        <f>L408</f>
        <v>1159806.82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887880.18000000017</v>
      </c>
      <c r="H647" s="104">
        <f>L208+L226+L244</f>
        <v>887880.17999999993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315029.61</v>
      </c>
      <c r="H648" s="104">
        <f>(J257+J338)-(J255+J336)</f>
        <v>315029.61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304239.42</v>
      </c>
      <c r="H649" s="104">
        <f>H598</f>
        <v>304239.42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205021.72999999998</v>
      </c>
      <c r="H650" s="104">
        <f>I598</f>
        <v>205021.73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378619.03</v>
      </c>
      <c r="H651" s="104">
        <f>J598</f>
        <v>378619.02999999997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1152326.52</v>
      </c>
      <c r="H655" s="104">
        <f>K266+K347</f>
        <v>1152326.52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12038365.970000001</v>
      </c>
      <c r="G660" s="19">
        <f>(L229+L309+L359)</f>
        <v>9530453.5000000019</v>
      </c>
      <c r="H660" s="19">
        <f>(L247+L328+L360)</f>
        <v>12799975.829999998</v>
      </c>
      <c r="I660" s="19">
        <f>SUM(F660:H660)</f>
        <v>34368795.299999997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129612.12413514097</v>
      </c>
      <c r="G661" s="19">
        <f>(L359/IF(SUM(L358:L360)=0,1,SUM(L358:L360))*(SUM(G97:G110)))</f>
        <v>91019.752815436572</v>
      </c>
      <c r="H661" s="19">
        <f>(L360/IF(SUM(L358:L360)=0,1,SUM(L358:L360))*(SUM(G97:G110)))</f>
        <v>143447.12304942249</v>
      </c>
      <c r="I661" s="19">
        <f>SUM(F661:H661)</f>
        <v>364079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307853.95999999996</v>
      </c>
      <c r="G662" s="19">
        <f>(L226+L306)-(J226+J306)</f>
        <v>205350.37</v>
      </c>
      <c r="H662" s="19">
        <f>(L244+L325)-(J244+J325)</f>
        <v>379136.96</v>
      </c>
      <c r="I662" s="19">
        <f>SUM(F662:H662)</f>
        <v>892341.29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182833.84</v>
      </c>
      <c r="G663" s="199">
        <f>SUM(G575:G587)+SUM(I602:I604)+L612</f>
        <v>486399.08</v>
      </c>
      <c r="H663" s="199">
        <f>SUM(H575:H587)+SUM(J602:J604)+L613</f>
        <v>1626464.8900000001</v>
      </c>
      <c r="I663" s="19">
        <f>SUM(F663:H663)</f>
        <v>2295697.81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11418066.04586486</v>
      </c>
      <c r="G664" s="19">
        <f>G660-SUM(G661:G663)</f>
        <v>8747684.297184566</v>
      </c>
      <c r="H664" s="19">
        <f>H660-SUM(H661:H663)</f>
        <v>10650926.856950575</v>
      </c>
      <c r="I664" s="19">
        <f>I660-SUM(I661:I663)</f>
        <v>30816677.199999996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593.77</v>
      </c>
      <c r="G665" s="248">
        <v>437.49</v>
      </c>
      <c r="H665" s="248">
        <v>668.12</v>
      </c>
      <c r="I665" s="19">
        <f>SUM(F665:H665)</f>
        <v>1699.38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19229.78</v>
      </c>
      <c r="G667" s="19">
        <f>ROUND(G664/G665,2)</f>
        <v>19995.16</v>
      </c>
      <c r="H667" s="19">
        <f>ROUND(H664/H665,2)</f>
        <v>15941.64</v>
      </c>
      <c r="I667" s="19">
        <f>ROUND(I664/I665,2)</f>
        <v>18134.07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-15.29</v>
      </c>
      <c r="I670" s="19">
        <f>SUM(F670:H670)</f>
        <v>-15.29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19229.78</v>
      </c>
      <c r="G672" s="19">
        <f>ROUND((G664+G669)/(G665+G670),2)</f>
        <v>19995.16</v>
      </c>
      <c r="H672" s="19">
        <f>ROUND((H664+H669)/(H665+H670),2)</f>
        <v>16315.01</v>
      </c>
      <c r="I672" s="19">
        <f>ROUND((I664+I669)/(I665+I670),2)</f>
        <v>18298.71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7" sqref="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Lebanon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9802144.1199999992</v>
      </c>
      <c r="C9" s="229">
        <f>'DOE25'!G197+'DOE25'!G215+'DOE25'!G233+'DOE25'!G276+'DOE25'!G295+'DOE25'!G314</f>
        <v>4348444.91</v>
      </c>
    </row>
    <row r="10" spans="1:3" x14ac:dyDescent="0.2">
      <c r="A10" t="s">
        <v>779</v>
      </c>
      <c r="B10" s="240">
        <f>1370077.61+1527746.89+2656488.83+3215097.28+105439.59</f>
        <v>8874850.1999999993</v>
      </c>
      <c r="C10" s="240">
        <f>C9-C11-C12</f>
        <v>3987750.24</v>
      </c>
    </row>
    <row r="11" spans="1:3" x14ac:dyDescent="0.2">
      <c r="A11" t="s">
        <v>780</v>
      </c>
      <c r="B11" s="240">
        <f>231623.95+321875.68+11586.96+31900.25+86374.8</f>
        <v>683361.64</v>
      </c>
      <c r="C11" s="240">
        <f>B11*0.5</f>
        <v>341680.82</v>
      </c>
    </row>
    <row r="12" spans="1:3" x14ac:dyDescent="0.2">
      <c r="A12" t="s">
        <v>781</v>
      </c>
      <c r="B12" s="240">
        <f>233176.84+8656.38+2039.17+59.89</f>
        <v>243932.28000000003</v>
      </c>
      <c r="C12" s="240">
        <v>19013.849999999999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9802144.1199999992</v>
      </c>
      <c r="C13" s="231">
        <f>SUM(C10:C12)</f>
        <v>4348444.91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3957713.5100000002</v>
      </c>
      <c r="C18" s="229">
        <f>'DOE25'!G198+'DOE25'!G216+'DOE25'!G234+'DOE25'!G277+'DOE25'!G296+'DOE25'!G315</f>
        <v>1989207.2799999998</v>
      </c>
    </row>
    <row r="19" spans="1:3" x14ac:dyDescent="0.2">
      <c r="A19" t="s">
        <v>779</v>
      </c>
      <c r="B19" s="240">
        <f>750206.54+248966.4+618343.63+510601.25+530177.41</f>
        <v>2658295.2300000004</v>
      </c>
      <c r="C19" s="240">
        <f>312871+133169+160438+250066+219461</f>
        <v>1076005</v>
      </c>
    </row>
    <row r="20" spans="1:3" x14ac:dyDescent="0.2">
      <c r="A20" t="s">
        <v>780</v>
      </c>
      <c r="B20" s="240">
        <f>103293.37+237184.17+419807.88+113482.92+75872.86+195386.52</f>
        <v>1145027.72</v>
      </c>
      <c r="C20" s="240">
        <f>C18-C19-C21</f>
        <v>855875.62999999977</v>
      </c>
    </row>
    <row r="21" spans="1:3" x14ac:dyDescent="0.2">
      <c r="A21" t="s">
        <v>781</v>
      </c>
      <c r="B21" s="240">
        <f>94398+39930+20062.56</f>
        <v>154390.56</v>
      </c>
      <c r="C21" s="240">
        <f>33632.72+23693.93</f>
        <v>57326.65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3957713.5100000002</v>
      </c>
      <c r="C22" s="231">
        <f>SUM(C19:C21)</f>
        <v>1989207.2799999998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339631.99</v>
      </c>
      <c r="C36" s="235">
        <f>'DOE25'!G200+'DOE25'!G218+'DOE25'!G236+'DOE25'!G279+'DOE25'!G298+'DOE25'!G317</f>
        <v>55686.47</v>
      </c>
    </row>
    <row r="37" spans="1:3" x14ac:dyDescent="0.2">
      <c r="A37" t="s">
        <v>779</v>
      </c>
      <c r="B37" s="240">
        <f>48647.5+42260.88</f>
        <v>90908.38</v>
      </c>
      <c r="C37" s="240">
        <f>34800+2427.3</f>
        <v>37227.300000000003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B36-B37</f>
        <v>248723.61</v>
      </c>
      <c r="C39" s="240">
        <f>C36-C37</f>
        <v>18459.169999999998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339631.99</v>
      </c>
      <c r="C40" s="231">
        <f>SUM(C37:C39)</f>
        <v>55686.47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3" sqref="E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Lebanon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23130345.75</v>
      </c>
      <c r="D5" s="20">
        <f>SUM('DOE25'!L197:L200)+SUM('DOE25'!L215:L218)+SUM('DOE25'!L233:L236)-F5-G5</f>
        <v>22866239.91</v>
      </c>
      <c r="E5" s="243"/>
      <c r="F5" s="255">
        <f>SUM('DOE25'!J197:J200)+SUM('DOE25'!J215:J218)+SUM('DOE25'!J233:J236)</f>
        <v>192915.75</v>
      </c>
      <c r="G5" s="53">
        <f>SUM('DOE25'!K197:K200)+SUM('DOE25'!K215:K218)+SUM('DOE25'!K233:K236)</f>
        <v>71190.09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1381900.58</v>
      </c>
      <c r="D6" s="20">
        <f>'DOE25'!L202+'DOE25'!L220+'DOE25'!L238-F6-G6</f>
        <v>1376525.61</v>
      </c>
      <c r="E6" s="243"/>
      <c r="F6" s="255">
        <f>'DOE25'!J202+'DOE25'!J220+'DOE25'!J238</f>
        <v>4464.97</v>
      </c>
      <c r="G6" s="53">
        <f>'DOE25'!K202+'DOE25'!K220+'DOE25'!K238</f>
        <v>910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1762827.54</v>
      </c>
      <c r="D7" s="20">
        <f>'DOE25'!L203+'DOE25'!L221+'DOE25'!L239-F7-G7</f>
        <v>1675229.39</v>
      </c>
      <c r="E7" s="243"/>
      <c r="F7" s="255">
        <f>'DOE25'!J203+'DOE25'!J221+'DOE25'!J239</f>
        <v>86183.82</v>
      </c>
      <c r="G7" s="53">
        <f>'DOE25'!K203+'DOE25'!K221+'DOE25'!K239</f>
        <v>1414.33</v>
      </c>
      <c r="H7" s="259"/>
    </row>
    <row r="8" spans="1:9" x14ac:dyDescent="0.2">
      <c r="A8" s="32">
        <v>2300</v>
      </c>
      <c r="B8" t="s">
        <v>802</v>
      </c>
      <c r="C8" s="245">
        <f t="shared" si="0"/>
        <v>863051.6</v>
      </c>
      <c r="D8" s="243"/>
      <c r="E8" s="20">
        <f>'DOE25'!L204+'DOE25'!L222+'DOE25'!L240-F8-G8-D9-D11</f>
        <v>837598.97</v>
      </c>
      <c r="F8" s="255">
        <f>'DOE25'!J204+'DOE25'!J222+'DOE25'!J240</f>
        <v>1413.05</v>
      </c>
      <c r="G8" s="53">
        <f>'DOE25'!K204+'DOE25'!K222+'DOE25'!K240</f>
        <v>24039.58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139504.70000000001</v>
      </c>
      <c r="D9" s="244">
        <f>145162-5657.3</f>
        <v>139504.70000000001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35900</v>
      </c>
      <c r="D10" s="243"/>
      <c r="E10" s="244">
        <v>35900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309513.65999999997</v>
      </c>
      <c r="D11" s="244">
        <f>136769.63+79128.05+171375.81-77759.83</f>
        <v>309513.65999999997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1575450.08</v>
      </c>
      <c r="D12" s="20">
        <f>'DOE25'!L205+'DOE25'!L223+'DOE25'!L241-F12-G12</f>
        <v>1551459.2600000002</v>
      </c>
      <c r="E12" s="243"/>
      <c r="F12" s="255">
        <f>'DOE25'!J205+'DOE25'!J223+'DOE25'!J241</f>
        <v>1196.6500000000001</v>
      </c>
      <c r="G12" s="53">
        <f>'DOE25'!K205+'DOE25'!K223+'DOE25'!K241</f>
        <v>22794.170000000002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2917776.08</v>
      </c>
      <c r="D14" s="20">
        <f>'DOE25'!L207+'DOE25'!L225+'DOE25'!L243-F14-G14</f>
        <v>2892903.86</v>
      </c>
      <c r="E14" s="243"/>
      <c r="F14" s="255">
        <f>'DOE25'!J207+'DOE25'!J225+'DOE25'!J243</f>
        <v>22788.22</v>
      </c>
      <c r="G14" s="53">
        <f>'DOE25'!K207+'DOE25'!K225+'DOE25'!K243</f>
        <v>2084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887880.17999999993</v>
      </c>
      <c r="D15" s="20">
        <f>'DOE25'!L208+'DOE25'!L226+'DOE25'!L244-F15-G15</f>
        <v>887174.59</v>
      </c>
      <c r="E15" s="243"/>
      <c r="F15" s="255">
        <f>'DOE25'!J208+'DOE25'!J226+'DOE25'!J244</f>
        <v>0</v>
      </c>
      <c r="G15" s="53">
        <f>'DOE25'!K208+'DOE25'!K226+'DOE25'!K244</f>
        <v>705.59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718300.49</v>
      </c>
      <c r="D22" s="243"/>
      <c r="E22" s="243"/>
      <c r="F22" s="255">
        <f>'DOE25'!L255+'DOE25'!L336</f>
        <v>718300.49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2242550</v>
      </c>
      <c r="D25" s="243"/>
      <c r="E25" s="243"/>
      <c r="F25" s="258"/>
      <c r="G25" s="256"/>
      <c r="H25" s="257">
        <f>'DOE25'!L260+'DOE25'!L261+'DOE25'!L341+'DOE25'!L342</f>
        <v>2242550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646576.46</v>
      </c>
      <c r="D29" s="20">
        <f>'DOE25'!L358+'DOE25'!L359+'DOE25'!L360-'DOE25'!I367-F29-G29</f>
        <v>628398.30999999994</v>
      </c>
      <c r="E29" s="243"/>
      <c r="F29" s="255">
        <f>'DOE25'!J358+'DOE25'!J359+'DOE25'!J360</f>
        <v>18178.149999999998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839015.15999999992</v>
      </c>
      <c r="D31" s="20">
        <f>'DOE25'!L290+'DOE25'!L309+'DOE25'!L328+'DOE25'!L333+'DOE25'!L334+'DOE25'!L335-F31-G31</f>
        <v>758886.57999999984</v>
      </c>
      <c r="E31" s="243"/>
      <c r="F31" s="255">
        <f>'DOE25'!J290+'DOE25'!J309+'DOE25'!J328+'DOE25'!J333+'DOE25'!J334+'DOE25'!J335</f>
        <v>6067.1500000000005</v>
      </c>
      <c r="G31" s="53">
        <f>'DOE25'!K290+'DOE25'!K309+'DOE25'!K328+'DOE25'!K333+'DOE25'!K334+'DOE25'!K335</f>
        <v>74061.429999999993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33085835.869999997</v>
      </c>
      <c r="E33" s="246">
        <f>SUM(E5:E31)</f>
        <v>873498.97</v>
      </c>
      <c r="F33" s="246">
        <f>SUM(F5:F31)</f>
        <v>1051508.25</v>
      </c>
      <c r="G33" s="246">
        <f>SUM(G5:G31)</f>
        <v>197199.19</v>
      </c>
      <c r="H33" s="246">
        <f>SUM(H5:H31)</f>
        <v>2242550</v>
      </c>
    </row>
    <row r="35" spans="2:8" ht="12" thickBot="1" x14ac:dyDescent="0.25">
      <c r="B35" s="253" t="s">
        <v>847</v>
      </c>
      <c r="D35" s="254">
        <f>E33</f>
        <v>873498.97</v>
      </c>
      <c r="E35" s="249"/>
    </row>
    <row r="36" spans="2:8" ht="12" thickTop="1" x14ac:dyDescent="0.2">
      <c r="B36" t="s">
        <v>815</v>
      </c>
      <c r="D36" s="20">
        <f>D33</f>
        <v>33085835.869999997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Lebanon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1830267.87</v>
      </c>
      <c r="D8" s="95">
        <f>'DOE25'!G9</f>
        <v>28151.51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1964682.56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3791802.22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16922.52</v>
      </c>
      <c r="F11" s="95">
        <f>'DOE25'!I12</f>
        <v>11399.909999999974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21147.39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4701.01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3794950.43</v>
      </c>
      <c r="D18" s="41">
        <f>SUM(D8:D17)</f>
        <v>53999.909999999996</v>
      </c>
      <c r="E18" s="41">
        <f>SUM(E8:E17)</f>
        <v>16922.52</v>
      </c>
      <c r="F18" s="41">
        <f>SUM(F8:F17)</f>
        <v>11399.909999999974</v>
      </c>
      <c r="G18" s="41">
        <f>SUM(G8:G17)</f>
        <v>3791802.22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25706.31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51074.65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94.37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25800.68</v>
      </c>
      <c r="D31" s="41">
        <f>SUM(D21:D30)</f>
        <v>51074.65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2925.26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245800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667153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16922.52</v>
      </c>
      <c r="F47" s="95">
        <f>'DOE25'!I48</f>
        <v>11399.91</v>
      </c>
      <c r="G47" s="95">
        <f>'DOE25'!J48</f>
        <v>3791802.22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2456196.7500000005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3769149.7500000005</v>
      </c>
      <c r="D50" s="41">
        <f>SUM(D34:D49)</f>
        <v>2925.26</v>
      </c>
      <c r="E50" s="41">
        <f>SUM(E34:E49)</f>
        <v>16922.52</v>
      </c>
      <c r="F50" s="41">
        <f>SUM(F34:F49)</f>
        <v>11399.91</v>
      </c>
      <c r="G50" s="41">
        <f>SUM(G34:G49)</f>
        <v>3791802.22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3794950.4300000006</v>
      </c>
      <c r="D51" s="41">
        <f>D50+D31</f>
        <v>53999.91</v>
      </c>
      <c r="E51" s="41">
        <f>E50+E31</f>
        <v>16922.52</v>
      </c>
      <c r="F51" s="41">
        <f>F50+F31</f>
        <v>11399.91</v>
      </c>
      <c r="G51" s="41">
        <f>G50+G31</f>
        <v>3791802.22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22271226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4414003.1099999994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2080.83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7480.2999999999993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364079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1483133.33</v>
      </c>
      <c r="D61" s="95">
        <f>SUM('DOE25'!G98:G110)</f>
        <v>0</v>
      </c>
      <c r="E61" s="95">
        <f>SUM('DOE25'!H98:H110)</f>
        <v>259913.96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5899217.2699999996</v>
      </c>
      <c r="D62" s="130">
        <f>SUM(D57:D61)</f>
        <v>364079</v>
      </c>
      <c r="E62" s="130">
        <f>SUM(E57:E61)</f>
        <v>259913.96</v>
      </c>
      <c r="F62" s="130">
        <f>SUM(F57:F61)</f>
        <v>0</v>
      </c>
      <c r="G62" s="130">
        <f>SUM(G57:G61)</f>
        <v>7480.2999999999993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28170443.27</v>
      </c>
      <c r="D63" s="22">
        <f>D56+D62</f>
        <v>364079</v>
      </c>
      <c r="E63" s="22">
        <f>E56+E62</f>
        <v>259913.96</v>
      </c>
      <c r="F63" s="22">
        <f>F56+F62</f>
        <v>0</v>
      </c>
      <c r="G63" s="22">
        <f>G56+G62</f>
        <v>7480.2999999999993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2030709.67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4414888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6445597.6699999999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604326.38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483817.77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230322.69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6654.06</v>
      </c>
      <c r="E77" s="95">
        <f>SUM('DOE25'!H131:H135)</f>
        <v>51647.59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1318466.8399999999</v>
      </c>
      <c r="D78" s="130">
        <f>SUM(D72:D77)</f>
        <v>6654.06</v>
      </c>
      <c r="E78" s="130">
        <f>SUM(E72:E77)</f>
        <v>51647.59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7764064.5099999998</v>
      </c>
      <c r="D81" s="130">
        <f>SUM(D79:D80)+D78+D70</f>
        <v>6654.06</v>
      </c>
      <c r="E81" s="130">
        <f>SUM(E79:E80)+E78+E70</f>
        <v>51647.59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51873.07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279896.98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321326.40000000002</v>
      </c>
      <c r="D88" s="95">
        <f>SUM('DOE25'!G153:G161)</f>
        <v>226895.59</v>
      </c>
      <c r="E88" s="95">
        <f>SUM('DOE25'!H153:H161)</f>
        <v>259836.84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321326.40000000002</v>
      </c>
      <c r="D91" s="131">
        <f>SUM(D85:D90)</f>
        <v>278768.65999999997</v>
      </c>
      <c r="E91" s="131">
        <f>SUM(E85:E90)</f>
        <v>539733.81999999995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1152326.52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4642.3100000000004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4642.3100000000004</v>
      </c>
      <c r="F103" s="86">
        <f>SUM(F93:F102)</f>
        <v>0</v>
      </c>
      <c r="G103" s="86">
        <f>SUM(G93:G102)</f>
        <v>1152326.52</v>
      </c>
    </row>
    <row r="104" spans="1:7" ht="12.75" thickTop="1" thickBot="1" x14ac:dyDescent="0.25">
      <c r="A104" s="33" t="s">
        <v>765</v>
      </c>
      <c r="C104" s="86">
        <f>C63+C81+C91+C103</f>
        <v>36255834.18</v>
      </c>
      <c r="D104" s="86">
        <f>D63+D81+D91+D103</f>
        <v>649501.72</v>
      </c>
      <c r="E104" s="86">
        <f>E63+E81+E91+E103</f>
        <v>855937.67999999993</v>
      </c>
      <c r="F104" s="86">
        <f>F63+F81+F91+F103</f>
        <v>0</v>
      </c>
      <c r="G104" s="86">
        <f>G63+G81+G103</f>
        <v>1159806.82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14571143.609999999</v>
      </c>
      <c r="D109" s="24" t="s">
        <v>289</v>
      </c>
      <c r="E109" s="95">
        <f>('DOE25'!L276)+('DOE25'!L295)+('DOE25'!L314)</f>
        <v>159566.22999999995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7453411.0100000007</v>
      </c>
      <c r="D110" s="24" t="s">
        <v>289</v>
      </c>
      <c r="E110" s="95">
        <f>('DOE25'!L277)+('DOE25'!L296)+('DOE25'!L315)</f>
        <v>388445.9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494789.69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611001.43999999994</v>
      </c>
      <c r="D112" s="24" t="s">
        <v>289</v>
      </c>
      <c r="E112" s="95">
        <f>+('DOE25'!L279)+('DOE25'!L298)+('DOE25'!L317)</f>
        <v>20686.690000000002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85046.49000000002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23130345.750000004</v>
      </c>
      <c r="D115" s="86">
        <f>SUM(D109:D114)</f>
        <v>0</v>
      </c>
      <c r="E115" s="86">
        <f>SUM(E109:E114)</f>
        <v>653745.31000000006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1381900.58</v>
      </c>
      <c r="D118" s="24" t="s">
        <v>289</v>
      </c>
      <c r="E118" s="95">
        <f>+('DOE25'!L281)+('DOE25'!L300)+('DOE25'!L319)</f>
        <v>69157.73000000001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1762827.54</v>
      </c>
      <c r="D119" s="24" t="s">
        <v>289</v>
      </c>
      <c r="E119" s="95">
        <f>+('DOE25'!L282)+('DOE25'!L301)+('DOE25'!L320)</f>
        <v>107382.07999999999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1312069.96</v>
      </c>
      <c r="D120" s="24" t="s">
        <v>289</v>
      </c>
      <c r="E120" s="95">
        <f>+('DOE25'!L283)+('DOE25'!L302)+('DOE25'!L321)</f>
        <v>4268.93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1575450.08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2917776.08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887880.17999999993</v>
      </c>
      <c r="D124" s="24" t="s">
        <v>289</v>
      </c>
      <c r="E124" s="95">
        <f>+('DOE25'!L287)+('DOE25'!L306)+('DOE25'!L325)</f>
        <v>4461.1099999999997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646576.46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9837904.4199999999</v>
      </c>
      <c r="D128" s="86">
        <f>SUM(D118:D127)</f>
        <v>646576.46</v>
      </c>
      <c r="E128" s="86">
        <f>SUM(E118:E127)</f>
        <v>185269.84999999998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718300.49</v>
      </c>
      <c r="D130" s="24" t="s">
        <v>289</v>
      </c>
      <c r="E130" s="129">
        <f>'DOE25'!L336</f>
        <v>0</v>
      </c>
      <c r="F130" s="129">
        <f>SUM('DOE25'!L374:'DOE25'!L380)</f>
        <v>202871.63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1320000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922550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1159135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671.82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-7480.3000000000466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4113177.01</v>
      </c>
      <c r="D144" s="141">
        <f>SUM(D130:D143)</f>
        <v>0</v>
      </c>
      <c r="E144" s="141">
        <f>SUM(E130:E143)</f>
        <v>0</v>
      </c>
      <c r="F144" s="141">
        <f>SUM(F130:F143)</f>
        <v>202871.63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37081427.18</v>
      </c>
      <c r="D145" s="86">
        <f>(D115+D128+D144)</f>
        <v>646576.46</v>
      </c>
      <c r="E145" s="86">
        <f>(E115+E128+E144)</f>
        <v>839015.16</v>
      </c>
      <c r="F145" s="86">
        <f>(F115+F128+F144)</f>
        <v>202871.63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12/10</v>
      </c>
      <c r="C152" s="152" t="str">
        <f>'DOE25'!G491</f>
        <v>12/11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01/16</v>
      </c>
      <c r="C153" s="152" t="str">
        <f>'DOE25'!G492</f>
        <v>01/32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678550</v>
      </c>
      <c r="C154" s="137">
        <f>'DOE25'!G493</f>
        <v>23650000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2.23</v>
      </c>
      <c r="C155" s="137" t="str">
        <f>'DOE25'!G494</f>
        <v>Various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405000</v>
      </c>
      <c r="C156" s="137">
        <f>'DOE25'!G495</f>
        <v>22470000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22875000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135000</v>
      </c>
      <c r="C158" s="137">
        <f>'DOE25'!G497</f>
        <v>1185000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1320000</v>
      </c>
    </row>
    <row r="159" spans="1:9" x14ac:dyDescent="0.2">
      <c r="A159" s="22" t="s">
        <v>35</v>
      </c>
      <c r="B159" s="137">
        <f>'DOE25'!F498</f>
        <v>270000</v>
      </c>
      <c r="C159" s="137">
        <f>'DOE25'!G498</f>
        <v>21285000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21555000</v>
      </c>
    </row>
    <row r="160" spans="1:9" x14ac:dyDescent="0.2">
      <c r="A160" s="22" t="s">
        <v>36</v>
      </c>
      <c r="B160" s="137">
        <f>'DOE25'!F499</f>
        <v>16200</v>
      </c>
      <c r="C160" s="137">
        <f>'DOE25'!G499</f>
        <v>8044850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8061050</v>
      </c>
    </row>
    <row r="161" spans="1:7" x14ac:dyDescent="0.2">
      <c r="A161" s="22" t="s">
        <v>37</v>
      </c>
      <c r="B161" s="137">
        <f>'DOE25'!F500</f>
        <v>286200</v>
      </c>
      <c r="C161" s="137">
        <f>'DOE25'!G500</f>
        <v>29329850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29616050</v>
      </c>
    </row>
    <row r="162" spans="1:7" x14ac:dyDescent="0.2">
      <c r="A162" s="22" t="s">
        <v>38</v>
      </c>
      <c r="B162" s="137">
        <f>'DOE25'!F501</f>
        <v>135000</v>
      </c>
      <c r="C162" s="137">
        <f>'DOE25'!G501</f>
        <v>1185000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1320000</v>
      </c>
    </row>
    <row r="163" spans="1:7" x14ac:dyDescent="0.2">
      <c r="A163" s="22" t="s">
        <v>39</v>
      </c>
      <c r="B163" s="137">
        <f>'DOE25'!F502</f>
        <v>10800</v>
      </c>
      <c r="C163" s="137">
        <f>'DOE25'!G502</f>
        <v>860300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871100</v>
      </c>
    </row>
    <row r="164" spans="1:7" x14ac:dyDescent="0.2">
      <c r="A164" s="22" t="s">
        <v>246</v>
      </c>
      <c r="B164" s="137">
        <f>'DOE25'!F503</f>
        <v>145800</v>
      </c>
      <c r="C164" s="137">
        <f>'DOE25'!G503</f>
        <v>2045300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2191100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4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Lebanon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19230</v>
      </c>
    </row>
    <row r="5" spans="1:4" x14ac:dyDescent="0.2">
      <c r="B5" t="s">
        <v>704</v>
      </c>
      <c r="C5" s="179">
        <f>IF('DOE25'!G665+'DOE25'!G670=0,0,ROUND('DOE25'!G672,0))</f>
        <v>19995</v>
      </c>
    </row>
    <row r="6" spans="1:4" x14ac:dyDescent="0.2">
      <c r="B6" t="s">
        <v>62</v>
      </c>
      <c r="C6" s="179">
        <f>IF('DOE25'!H665+'DOE25'!H670=0,0,ROUND('DOE25'!H672,0))</f>
        <v>16315</v>
      </c>
    </row>
    <row r="7" spans="1:4" x14ac:dyDescent="0.2">
      <c r="B7" t="s">
        <v>705</v>
      </c>
      <c r="C7" s="179">
        <f>IF('DOE25'!I665+'DOE25'!I670=0,0,ROUND('DOE25'!I672,0))</f>
        <v>18299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14730710</v>
      </c>
      <c r="D10" s="182">
        <f>ROUND((C10/$C$28)*100,1)</f>
        <v>42.1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7841857</v>
      </c>
      <c r="D11" s="182">
        <f>ROUND((C11/$C$28)*100,1)</f>
        <v>22.4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494790</v>
      </c>
      <c r="D12" s="182">
        <f>ROUND((C12/$C$28)*100,1)</f>
        <v>1.4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631688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1451058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1870210</v>
      </c>
      <c r="D16" s="182">
        <f t="shared" si="0"/>
        <v>5.3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1316339</v>
      </c>
      <c r="D17" s="182">
        <f t="shared" si="0"/>
        <v>3.8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1575450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2917776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892341</v>
      </c>
      <c r="D21" s="182">
        <f t="shared" si="0"/>
        <v>2.5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85046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922550</v>
      </c>
      <c r="D25" s="182">
        <f t="shared" si="0"/>
        <v>2.6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282497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35012312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921172</v>
      </c>
    </row>
    <row r="30" spans="1:4" x14ac:dyDescent="0.2">
      <c r="B30" s="187" t="s">
        <v>729</v>
      </c>
      <c r="C30" s="180">
        <f>SUM(C28:C29)</f>
        <v>35933484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1320000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22271226</v>
      </c>
      <c r="D35" s="182">
        <f t="shared" ref="D35:D40" si="1">ROUND((C35/$C$41)*100,1)</f>
        <v>59.5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6166611.5300000012</v>
      </c>
      <c r="D36" s="182">
        <f t="shared" si="1"/>
        <v>16.5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6445598</v>
      </c>
      <c r="D37" s="182">
        <f t="shared" si="1"/>
        <v>17.2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1376768</v>
      </c>
      <c r="D38" s="182">
        <f t="shared" si="1"/>
        <v>3.7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1139829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37400032.530000001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7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Lebanon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2014-10-02T17:49:12Z</cp:lastPrinted>
  <dcterms:created xsi:type="dcterms:W3CDTF">1997-12-04T19:04:30Z</dcterms:created>
  <dcterms:modified xsi:type="dcterms:W3CDTF">2014-12-05T16:17:39Z</dcterms:modified>
</cp:coreProperties>
</file>