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" i="1"/>
  <c r="F472" i="1"/>
  <c r="F468" i="1"/>
  <c r="D9" i="13" l="1"/>
  <c r="D11" i="13" l="1"/>
  <c r="H234" i="1"/>
  <c r="H22" i="1"/>
  <c r="H12" i="1"/>
  <c r="H49" i="1" l="1"/>
  <c r="H665" i="1"/>
  <c r="G665" i="1"/>
  <c r="F665" i="1"/>
  <c r="H13" i="1"/>
  <c r="F28" i="1"/>
  <c r="F24" i="1"/>
  <c r="F12" i="1" l="1"/>
  <c r="C19" i="12" l="1"/>
  <c r="C20" i="12"/>
  <c r="B19" i="12" l="1"/>
  <c r="B20" i="12"/>
  <c r="C10" i="12"/>
  <c r="B10" i="12"/>
  <c r="C37" i="12"/>
  <c r="B37" i="12"/>
  <c r="C39" i="12"/>
  <c r="B39" i="12"/>
  <c r="B21" i="12"/>
  <c r="B12" i="12"/>
  <c r="I611" i="1"/>
  <c r="G611" i="1"/>
  <c r="H200" i="1"/>
  <c r="I613" i="1"/>
  <c r="G613" i="1"/>
  <c r="F613" i="1"/>
  <c r="G612" i="1"/>
  <c r="F612" i="1"/>
  <c r="F611" i="1"/>
  <c r="J604" i="1"/>
  <c r="I604" i="1"/>
  <c r="H604" i="1"/>
  <c r="H567" i="1"/>
  <c r="G567" i="1"/>
  <c r="F521" i="1"/>
  <c r="F502" i="1"/>
  <c r="F499" i="1"/>
  <c r="F501" i="1"/>
  <c r="F497" i="1"/>
  <c r="F498" i="1" l="1"/>
  <c r="J595" i="1"/>
  <c r="I595" i="1"/>
  <c r="H595" i="1"/>
  <c r="J594" i="1"/>
  <c r="I594" i="1"/>
  <c r="J592" i="1"/>
  <c r="I592" i="1"/>
  <c r="H592" i="1"/>
  <c r="J591" i="1"/>
  <c r="I591" i="1"/>
  <c r="H591" i="1"/>
  <c r="H584" i="1"/>
  <c r="H583" i="1"/>
  <c r="H582" i="1"/>
  <c r="H579" i="1"/>
  <c r="G579" i="1"/>
  <c r="F583" i="1"/>
  <c r="F582" i="1"/>
  <c r="H320" i="1" l="1"/>
  <c r="H319" i="1"/>
  <c r="H300" i="1"/>
  <c r="H281" i="1"/>
  <c r="K314" i="1"/>
  <c r="J314" i="1"/>
  <c r="J295" i="1"/>
  <c r="J276" i="1"/>
  <c r="I276" i="1"/>
  <c r="J315" i="1"/>
  <c r="I315" i="1"/>
  <c r="H315" i="1"/>
  <c r="G315" i="1"/>
  <c r="F315" i="1"/>
  <c r="J296" i="1"/>
  <c r="I296" i="1"/>
  <c r="H296" i="1"/>
  <c r="G296" i="1"/>
  <c r="F296" i="1"/>
  <c r="J277" i="1"/>
  <c r="I277" i="1"/>
  <c r="H277" i="1"/>
  <c r="G277" i="1"/>
  <c r="F277" i="1"/>
  <c r="H282" i="1"/>
  <c r="G276" i="1"/>
  <c r="F276" i="1"/>
  <c r="F320" i="1"/>
  <c r="F301" i="1"/>
  <c r="F282" i="1"/>
  <c r="H301" i="1"/>
  <c r="I243" i="1"/>
  <c r="H240" i="1"/>
  <c r="H222" i="1"/>
  <c r="H204" i="1"/>
  <c r="G239" i="1"/>
  <c r="I239" i="1"/>
  <c r="I221" i="1"/>
  <c r="I203" i="1"/>
  <c r="I236" i="1"/>
  <c r="I234" i="1"/>
  <c r="J198" i="1"/>
  <c r="J233" i="1"/>
  <c r="I233" i="1"/>
  <c r="I197" i="1"/>
  <c r="H244" i="1"/>
  <c r="G244" i="1"/>
  <c r="F244" i="1"/>
  <c r="H226" i="1"/>
  <c r="H208" i="1"/>
  <c r="I244" i="1"/>
  <c r="I226" i="1"/>
  <c r="G208" i="1"/>
  <c r="F208" i="1"/>
  <c r="J208" i="1"/>
  <c r="I208" i="1"/>
  <c r="H243" i="1"/>
  <c r="I225" i="1"/>
  <c r="H225" i="1"/>
  <c r="I207" i="1"/>
  <c r="H207" i="1"/>
  <c r="J243" i="1"/>
  <c r="J225" i="1"/>
  <c r="J207" i="1"/>
  <c r="K243" i="1"/>
  <c r="G243" i="1"/>
  <c r="F243" i="1"/>
  <c r="K225" i="1"/>
  <c r="G225" i="1"/>
  <c r="F225" i="1"/>
  <c r="K207" i="1"/>
  <c r="G207" i="1"/>
  <c r="F207" i="1"/>
  <c r="I241" i="1"/>
  <c r="H241" i="1"/>
  <c r="I223" i="1"/>
  <c r="K241" i="1"/>
  <c r="J241" i="1"/>
  <c r="G241" i="1"/>
  <c r="F241" i="1"/>
  <c r="K223" i="1"/>
  <c r="J223" i="1"/>
  <c r="H223" i="1"/>
  <c r="G223" i="1"/>
  <c r="F223" i="1"/>
  <c r="K205" i="1"/>
  <c r="J205" i="1"/>
  <c r="I205" i="1"/>
  <c r="H205" i="1"/>
  <c r="G205" i="1"/>
  <c r="F205" i="1"/>
  <c r="K240" i="1"/>
  <c r="I240" i="1"/>
  <c r="G240" i="1"/>
  <c r="F240" i="1"/>
  <c r="K222" i="1"/>
  <c r="I222" i="1"/>
  <c r="G222" i="1"/>
  <c r="F222" i="1"/>
  <c r="K204" i="1"/>
  <c r="I204" i="1"/>
  <c r="G204" i="1"/>
  <c r="F204" i="1"/>
  <c r="H239" i="1"/>
  <c r="H221" i="1"/>
  <c r="H203" i="1"/>
  <c r="J239" i="1"/>
  <c r="J221" i="1"/>
  <c r="K239" i="1"/>
  <c r="F239" i="1"/>
  <c r="G221" i="1"/>
  <c r="F221" i="1"/>
  <c r="G203" i="1"/>
  <c r="F203" i="1"/>
  <c r="H238" i="1"/>
  <c r="H220" i="1"/>
  <c r="H202" i="1"/>
  <c r="G202" i="1"/>
  <c r="F202" i="1"/>
  <c r="K202" i="1"/>
  <c r="I202" i="1"/>
  <c r="I238" i="1"/>
  <c r="G238" i="1"/>
  <c r="F238" i="1"/>
  <c r="I220" i="1"/>
  <c r="G220" i="1"/>
  <c r="F220" i="1"/>
  <c r="H236" i="1"/>
  <c r="G236" i="1"/>
  <c r="F236" i="1"/>
  <c r="G218" i="1"/>
  <c r="F218" i="1"/>
  <c r="G200" i="1"/>
  <c r="F200" i="1"/>
  <c r="K236" i="1"/>
  <c r="J236" i="1"/>
  <c r="K218" i="1"/>
  <c r="H218" i="1"/>
  <c r="K216" i="1"/>
  <c r="I216" i="1"/>
  <c r="K198" i="1"/>
  <c r="I198" i="1"/>
  <c r="G198" i="1"/>
  <c r="F198" i="1"/>
  <c r="G234" i="1"/>
  <c r="F234" i="1"/>
  <c r="G216" i="1"/>
  <c r="F216" i="1"/>
  <c r="J234" i="1"/>
  <c r="J216" i="1"/>
  <c r="H216" i="1"/>
  <c r="H198" i="1"/>
  <c r="K233" i="1"/>
  <c r="H233" i="1"/>
  <c r="G233" i="1"/>
  <c r="F233" i="1"/>
  <c r="J215" i="1"/>
  <c r="I215" i="1"/>
  <c r="H215" i="1"/>
  <c r="G215" i="1"/>
  <c r="F215" i="1"/>
  <c r="K197" i="1"/>
  <c r="J197" i="1"/>
  <c r="H197" i="1"/>
  <c r="G197" i="1"/>
  <c r="F197" i="1"/>
  <c r="J96" i="1"/>
  <c r="J472" i="1"/>
  <c r="J468" i="1"/>
  <c r="G439" i="1"/>
  <c r="J426" i="1"/>
  <c r="H422" i="1"/>
  <c r="H400" i="1"/>
  <c r="G400" i="1"/>
  <c r="I360" i="1"/>
  <c r="I359" i="1"/>
  <c r="I358" i="1"/>
  <c r="H360" i="1"/>
  <c r="H359" i="1"/>
  <c r="H358" i="1"/>
  <c r="G158" i="1"/>
  <c r="G97" i="1"/>
  <c r="G14" i="1"/>
  <c r="G13" i="1"/>
  <c r="H155" i="1"/>
  <c r="H159" i="1"/>
  <c r="H154" i="1"/>
  <c r="F22" i="1"/>
  <c r="F110" i="1" l="1"/>
  <c r="F98" i="1"/>
  <c r="F96" i="1"/>
  <c r="F57" i="1"/>
  <c r="F14" i="1"/>
  <c r="F9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C19" i="10" s="1"/>
  <c r="L242" i="1"/>
  <c r="F16" i="13"/>
  <c r="G16" i="13"/>
  <c r="L209" i="1"/>
  <c r="C17" i="10" s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C123" i="2" s="1"/>
  <c r="L243" i="1"/>
  <c r="F15" i="13"/>
  <c r="G15" i="13"/>
  <c r="L208" i="1"/>
  <c r="C21" i="10" s="1"/>
  <c r="L226" i="1"/>
  <c r="G662" i="1" s="1"/>
  <c r="L244" i="1"/>
  <c r="F17" i="13"/>
  <c r="G17" i="13"/>
  <c r="L251" i="1"/>
  <c r="C114" i="2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G661" i="1" s="1"/>
  <c r="I367" i="1"/>
  <c r="I369" i="1" s="1"/>
  <c r="H634" i="1" s="1"/>
  <c r="J290" i="1"/>
  <c r="J309" i="1"/>
  <c r="J328" i="1"/>
  <c r="K290" i="1"/>
  <c r="K309" i="1"/>
  <c r="K328" i="1"/>
  <c r="L276" i="1"/>
  <c r="L290" i="1" s="1"/>
  <c r="L277" i="1"/>
  <c r="C11" i="10" s="1"/>
  <c r="L278" i="1"/>
  <c r="L279" i="1"/>
  <c r="L281" i="1"/>
  <c r="L282" i="1"/>
  <c r="L283" i="1"/>
  <c r="L284" i="1"/>
  <c r="L285" i="1"/>
  <c r="E122" i="2" s="1"/>
  <c r="L286" i="1"/>
  <c r="E123" i="2" s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E131" i="2" s="1"/>
  <c r="L342" i="1"/>
  <c r="L255" i="1"/>
  <c r="L336" i="1"/>
  <c r="F22" i="13" s="1"/>
  <c r="C22" i="13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D56" i="2" s="1"/>
  <c r="H60" i="1"/>
  <c r="I60" i="1"/>
  <c r="F79" i="1"/>
  <c r="C57" i="2" s="1"/>
  <c r="F94" i="1"/>
  <c r="F111" i="1"/>
  <c r="G111" i="1"/>
  <c r="H79" i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H169" i="1" s="1"/>
  <c r="I147" i="1"/>
  <c r="I169" i="1" s="1"/>
  <c r="I162" i="1"/>
  <c r="C12" i="10"/>
  <c r="C13" i="10"/>
  <c r="C20" i="10"/>
  <c r="L250" i="1"/>
  <c r="L332" i="1"/>
  <c r="E113" i="2" s="1"/>
  <c r="L254" i="1"/>
  <c r="L268" i="1"/>
  <c r="L269" i="1"/>
  <c r="C143" i="2" s="1"/>
  <c r="L349" i="1"/>
  <c r="E142" i="2" s="1"/>
  <c r="L350" i="1"/>
  <c r="I665" i="1"/>
  <c r="I670" i="1"/>
  <c r="F661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J270" i="1"/>
  <c r="I270" i="1"/>
  <c r="H270" i="1"/>
  <c r="G270" i="1"/>
  <c r="F270" i="1"/>
  <c r="L270" i="1" s="1"/>
  <c r="C132" i="2"/>
  <c r="C131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E57" i="2"/>
  <c r="C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C81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1" i="2"/>
  <c r="E112" i="2"/>
  <c r="C113" i="2"/>
  <c r="D115" i="2"/>
  <c r="F115" i="2"/>
  <c r="G115" i="2"/>
  <c r="E118" i="2"/>
  <c r="E128" i="2" s="1"/>
  <c r="E119" i="2"/>
  <c r="E120" i="2"/>
  <c r="E121" i="2"/>
  <c r="C122" i="2"/>
  <c r="E124" i="2"/>
  <c r="E125" i="2"/>
  <c r="D127" i="2"/>
  <c r="D128" i="2" s="1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G641" i="1" s="1"/>
  <c r="J641" i="1" s="1"/>
  <c r="F452" i="1"/>
  <c r="G452" i="1"/>
  <c r="H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H641" i="1"/>
  <c r="G643" i="1"/>
  <c r="J643" i="1" s="1"/>
  <c r="H643" i="1"/>
  <c r="G644" i="1"/>
  <c r="H644" i="1"/>
  <c r="H645" i="1"/>
  <c r="G651" i="1"/>
  <c r="G652" i="1"/>
  <c r="H652" i="1"/>
  <c r="G653" i="1"/>
  <c r="H653" i="1"/>
  <c r="G654" i="1"/>
  <c r="H654" i="1"/>
  <c r="H655" i="1"/>
  <c r="L256" i="1"/>
  <c r="L351" i="1"/>
  <c r="A40" i="12"/>
  <c r="D17" i="13"/>
  <c r="C17" i="13" s="1"/>
  <c r="F78" i="2"/>
  <c r="F81" i="2" s="1"/>
  <c r="D50" i="2"/>
  <c r="G157" i="2"/>
  <c r="G62" i="2"/>
  <c r="J617" i="1"/>
  <c r="E78" i="2"/>
  <c r="J257" i="1"/>
  <c r="J271" i="1" s="1"/>
  <c r="H112" i="1"/>
  <c r="J571" i="1"/>
  <c r="D81" i="2"/>
  <c r="J644" i="1"/>
  <c r="I476" i="1"/>
  <c r="H625" i="1" s="1"/>
  <c r="J625" i="1" s="1"/>
  <c r="F169" i="1"/>
  <c r="J140" i="1"/>
  <c r="G22" i="2"/>
  <c r="C29" i="10"/>
  <c r="A13" i="12"/>
  <c r="J545" i="1"/>
  <c r="H338" i="1"/>
  <c r="H352" i="1" s="1"/>
  <c r="G192" i="1"/>
  <c r="H192" i="1"/>
  <c r="E16" i="13"/>
  <c r="J655" i="1"/>
  <c r="L570" i="1"/>
  <c r="I571" i="1"/>
  <c r="G545" i="1"/>
  <c r="J640" i="1" l="1"/>
  <c r="E115" i="2"/>
  <c r="E13" i="13"/>
  <c r="C13" i="13" s="1"/>
  <c r="C26" i="10"/>
  <c r="G645" i="1"/>
  <c r="J645" i="1" s="1"/>
  <c r="C35" i="10"/>
  <c r="H25" i="13"/>
  <c r="E8" i="13"/>
  <c r="C8" i="13" s="1"/>
  <c r="G650" i="1"/>
  <c r="L544" i="1"/>
  <c r="K257" i="1"/>
  <c r="K271" i="1" s="1"/>
  <c r="C56" i="2"/>
  <c r="H661" i="1"/>
  <c r="I661" i="1" s="1"/>
  <c r="G112" i="1"/>
  <c r="K549" i="1"/>
  <c r="L539" i="1"/>
  <c r="E31" i="2"/>
  <c r="C32" i="10"/>
  <c r="E81" i="2"/>
  <c r="D29" i="13"/>
  <c r="C29" i="13" s="1"/>
  <c r="H647" i="1"/>
  <c r="L614" i="1"/>
  <c r="L529" i="1"/>
  <c r="K500" i="1"/>
  <c r="I460" i="1"/>
  <c r="I452" i="1"/>
  <c r="I461" i="1" s="1"/>
  <c r="H642" i="1" s="1"/>
  <c r="I446" i="1"/>
  <c r="G642" i="1" s="1"/>
  <c r="D145" i="2"/>
  <c r="C125" i="2"/>
  <c r="J624" i="1"/>
  <c r="K545" i="1"/>
  <c r="I545" i="1"/>
  <c r="F552" i="1"/>
  <c r="K550" i="1"/>
  <c r="L524" i="1"/>
  <c r="F476" i="1"/>
  <c r="H622" i="1" s="1"/>
  <c r="J622" i="1" s="1"/>
  <c r="L328" i="1"/>
  <c r="J338" i="1"/>
  <c r="J352" i="1" s="1"/>
  <c r="C16" i="13"/>
  <c r="L211" i="1"/>
  <c r="F660" i="1" s="1"/>
  <c r="F664" i="1" s="1"/>
  <c r="F672" i="1" s="1"/>
  <c r="C4" i="10" s="1"/>
  <c r="J647" i="1"/>
  <c r="D15" i="13"/>
  <c r="C15" i="13" s="1"/>
  <c r="G649" i="1"/>
  <c r="J649" i="1" s="1"/>
  <c r="C124" i="2"/>
  <c r="F662" i="1"/>
  <c r="I662" i="1" s="1"/>
  <c r="D14" i="13"/>
  <c r="C14" i="13" s="1"/>
  <c r="C121" i="2"/>
  <c r="D12" i="13"/>
  <c r="C12" i="13" s="1"/>
  <c r="C16" i="10"/>
  <c r="D7" i="13"/>
  <c r="C7" i="13" s="1"/>
  <c r="C119" i="2"/>
  <c r="H257" i="1"/>
  <c r="H271" i="1" s="1"/>
  <c r="C15" i="10"/>
  <c r="C118" i="2"/>
  <c r="L247" i="1"/>
  <c r="H660" i="1" s="1"/>
  <c r="G257" i="1"/>
  <c r="G271" i="1" s="1"/>
  <c r="C110" i="2"/>
  <c r="C115" i="2" s="1"/>
  <c r="C10" i="10"/>
  <c r="D5" i="13"/>
  <c r="C5" i="13" s="1"/>
  <c r="L229" i="1"/>
  <c r="G660" i="1" s="1"/>
  <c r="G664" i="1" s="1"/>
  <c r="G667" i="1" s="1"/>
  <c r="J623" i="1"/>
  <c r="H52" i="1"/>
  <c r="H619" i="1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L545" i="1" l="1"/>
  <c r="K552" i="1"/>
  <c r="E33" i="13"/>
  <c r="D35" i="13" s="1"/>
  <c r="C25" i="13"/>
  <c r="H33" i="13"/>
  <c r="H664" i="1"/>
  <c r="H667" i="1" s="1"/>
  <c r="I193" i="1"/>
  <c r="G630" i="1" s="1"/>
  <c r="J630" i="1" s="1"/>
  <c r="L338" i="1"/>
  <c r="L352" i="1" s="1"/>
  <c r="G633" i="1" s="1"/>
  <c r="J633" i="1" s="1"/>
  <c r="C28" i="10"/>
  <c r="D23" i="10" s="1"/>
  <c r="D31" i="13"/>
  <c r="C31" i="13" s="1"/>
  <c r="C128" i="2"/>
  <c r="L257" i="1"/>
  <c r="L271" i="1" s="1"/>
  <c r="G632" i="1" s="1"/>
  <c r="J632" i="1" s="1"/>
  <c r="C145" i="2"/>
  <c r="H672" i="1"/>
  <c r="C6" i="10" s="1"/>
  <c r="G672" i="1"/>
  <c r="C5" i="10" s="1"/>
  <c r="I660" i="1"/>
  <c r="I664" i="1" s="1"/>
  <c r="I672" i="1" s="1"/>
  <c r="C7" i="10" s="1"/>
  <c r="F667" i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0" i="10" l="1"/>
  <c r="D15" i="10"/>
  <c r="D2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D33" i="13"/>
  <c r="D36" i="13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<sst xmlns="http://schemas.openxmlformats.org/spreadsheetml/2006/main" count="3958" uniqueCount="916">
  <si>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</si>
  <si>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</si>
  <si>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</si>
  <si>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</si>
  <si>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</si>
  <si>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</si>
  <si>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</si>
  <si>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</si>
  <si>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</si>
  <si>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</si>
  <si>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</si>
  <si>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</si>
  <si>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</si>
  <si>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</si>
  <si>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</si>
  <si>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</si>
  <si>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</si>
  <si>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</si>
  <si>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</si>
  <si>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</si>
  <si>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</si>
  <si>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</si>
  <si>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</si>
  <si>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</si>
  <si>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</si>
  <si>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</si>
  <si>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</si>
  <si>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</si>
  <si>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</si>
  <si>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</si>
  <si>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</si>
  <si>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</si>
  <si>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</si>
  <si>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</si>
  <si>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</si>
  <si>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</si>
  <si>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</si>
  <si>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</si>
  <si>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</si>
  <si>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</si>
  <si>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</si>
  <si>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</si>
  <si>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</si>
  <si>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</si>
  <si>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</si>
  <si>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</si>
  <si>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</si>
  <si>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</si>
  <si>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</si>
  <si>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</si>
  <si>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</si>
  <si>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</si>
  <si>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</si>
  <si>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</si>
  <si>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</si>
  <si>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</si>
  <si>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</si>
  <si>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</si>
  <si>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</si>
  <si>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</si>
  <si>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</si>
  <si>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</si>
  <si>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</si>
  <si>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</si>
  <si>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</si>
  <si>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</si>
  <si>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</si>
  <si>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</si>
  <si>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</si>
  <si>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</si>
  <si>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</si>
  <si>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</si>
  <si>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</si>
  <si>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</si>
  <si>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</si>
  <si>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</si>
  <si>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</si>
  <si>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</si>
  <si>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</si>
  <si>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</si>
  <si>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</si>
  <si>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</si>
  <si>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</si>
  <si>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</si>
  <si>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</si>
  <si>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</si>
  <si>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</si>
  <si>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</si>
  <si>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</si>
  <si>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</si>
  <si>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</si>
  <si>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</si>
  <si>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</si>
  <si>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</si>
  <si>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</si>
  <si>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</si>
  <si>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</si>
  <si>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</si>
  <si>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</si>
  <si>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</si>
  <si>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</si>
  <si>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</si>
  <si>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</si>
  <si>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</si>
  <si>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</si>
  <si>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</si>
  <si>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</si>
  <si>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</si>
  <si>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</si>
  <si>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</si>
  <si>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</si>
  <si>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</si>
  <si>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</si>
  <si>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</si>
  <si>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</si>
  <si>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</si>
  <si>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</si>
  <si>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</si>
  <si>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</si>
  <si>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</si>
  <si>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</si>
  <si>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</si>
  <si>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</si>
  <si>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</si>
  <si>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</si>
  <si>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</si>
  <si>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</si>
  <si>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</si>
  <si>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</si>
  <si>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</si>
  <si>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</si>
  <si>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</si>
  <si>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</si>
  <si>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</si>
  <si>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</si>
  <si>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</si>
  <si>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</si>
  <si>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</si>
  <si>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</si>
  <si>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</si>
  <si>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</si>
  <si>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</si>
  <si>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</si>
  <si>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</si>
  <si>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</si>
  <si>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</si>
  <si>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</si>
  <si>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</si>
  <si>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</si>
  <si>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</si>
  <si>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</si>
  <si>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</si>
  <si>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</si>
  <si>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</si>
  <si>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</si>
  <si>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</si>
  <si>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</si>
  <si>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</si>
  <si>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</si>
  <si>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</si>
  <si>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</si>
  <si>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</si>
  <si>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</si>
  <si>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</si>
  <si>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</si>
  <si>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</si>
  <si>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</si>
  <si>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</si>
  <si>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</si>
  <si>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</si>
  <si>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</si>
  <si>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</si>
  <si>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</si>
  <si>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</si>
  <si>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</si>
  <si>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</si>
  <si>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</si>
  <si>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</si>
  <si>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</si>
  <si>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</si>
  <si>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</si>
  <si>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</si>
  <si>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</si>
  <si>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</si>
  <si>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</si>
  <si>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</si>
  <si>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</si>
  <si>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</si>
  <si>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</si>
  <si>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</si>
  <si>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</si>
  <si>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</si>
  <si>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</si>
  <si>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</si>
  <si>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</si>
  <si>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</si>
  <si>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</si>
  <si>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</si>
  <si>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</si>
  <si>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</si>
  <si>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</si>
  <si>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</si>
  <si>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</si>
  <si>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</si>
  <si>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</si>
  <si>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</si>
  <si>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</si>
  <si>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</si>
  <si>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</si>
  <si>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</si>
  <si>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</si>
  <si>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</si>
  <si>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</si>
  <si>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</si>
  <si>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</si>
  <si>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</si>
  <si>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</si>
  <si>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</si>
  <si>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</si>
  <si>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</si>
  <si>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</si>
  <si>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</si>
  <si>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</si>
  <si>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</si>
  <si>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</si>
  <si>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</si>
  <si>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</si>
  <si>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</si>
  <si>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</si>
  <si>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</si>
  <si>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</si>
  <si>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</si>
  <si>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</si>
  <si>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</si>
  <si>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</si>
  <si>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</si>
  <si>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</si>
  <si>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</si>
  <si>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</si>
  <si>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</si>
  <si>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</si>
  <si>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</si>
  <si>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</si>
  <si>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</si>
  <si>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</si>
  <si>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</si>
  <si>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</si>
  <si>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</si>
  <si>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</si>
  <si>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</si>
  <si>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</si>
  <si>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</si>
  <si>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</si>
  <si>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</si>
  <si>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</si>
  <si>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</si>
  <si>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</si>
  <si>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</si>
  <si>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</si>
  <si>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</si>
  <si>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</si>
  <si>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</si>
  <si>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</si>
  <si>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</si>
  <si>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</si>
  <si>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</si>
  <si>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</si>
  <si>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</si>
  <si>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</si>
  <si>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</si>
  <si>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</si>
  <si>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</si>
  <si>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</si>
  <si>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</si>
  <si>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</si>
  <si>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</si>
  <si>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</si>
  <si>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</si>
  <si>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</si>
  <si>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</si>
  <si>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</si>
  <si>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</si>
  <si>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</si>
  <si>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</si>
  <si>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</si>
  <si>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</si>
  <si>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</si>
  <si>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</si>
  <si>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</si>
  <si>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</si>
  <si>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</si>
  <si>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</si>
  <si>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</si>
  <si>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</si>
  <si>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</si>
  <si>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</si>
  <si>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</si>
  <si>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</si>
  <si>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</si>
  <si>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</si>
  <si>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</si>
  <si>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</si>
  <si>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</si>
  <si>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</si>
  <si>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</si>
  <si>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</si>
  <si>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</si>
  <si>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</si>
  <si>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</si>
  <si>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</si>
  <si>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</si>
  <si>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</si>
  <si>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</si>
  <si>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</si>
  <si>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</si>
  <si>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</si>
  <si>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</si>
  <si>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</si>
  <si>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</si>
  <si>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</si>
  <si>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</si>
  <si>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</si>
  <si>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</si>
  <si>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</si>
  <si>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</si>
  <si>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</si>
  <si>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</si>
  <si>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</si>
  <si>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</si>
  <si>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</si>
  <si>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</si>
  <si>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</si>
  <si>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</si>
  <si>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</si>
  <si>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</si>
  <si>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</si>
  <si>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</si>
  <si>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</si>
  <si>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</si>
  <si>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</si>
  <si>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</si>
  <si>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</si>
  <si>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</si>
  <si>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</si>
  <si>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</si>
  <si>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</si>
  <si>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</si>
  <si>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</si>
  <si>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</si>
  <si>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</si>
  <si>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</si>
  <si>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</si>
  <si>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</si>
  <si>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</si>
  <si>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</si>
  <si>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</si>
  <si>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</si>
  <si>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</si>
  <si>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</si>
  <si>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</si>
  <si>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</si>
  <si>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</si>
  <si>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</si>
  <si>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</si>
  <si>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</si>
  <si>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</si>
  <si>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</si>
  <si>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</si>
  <si>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</si>
  <si>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</si>
  <si>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</si>
  <si>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</si>
  <si>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</si>
  <si>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</si>
  <si>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</si>
  <si>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</si>
  <si>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</si>
  <si>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</si>
  <si>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</si>
  <si>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</si>
  <si>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</si>
  <si>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</si>
  <si>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</si>
  <si>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</si>
  <si>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</si>
  <si>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</si>
  <si>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</si>
  <si>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</si>
  <si>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</si>
  <si>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</si>
  <si>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</si>
  <si>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</si>
  <si>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</si>
  <si>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</si>
  <si>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</si>
  <si>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</si>
  <si>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</si>
  <si>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</si>
  <si>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</si>
  <si>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</si>
  <si>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</si>
  <si>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</si>
  <si>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</si>
  <si>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</si>
  <si>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</si>
  <si>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</si>
  <si>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</si>
  <si>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</si>
  <si>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</si>
  <si>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</si>
  <si>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</si>
  <si>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</si>
  <si>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</si>
  <si>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</si>
  <si>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</si>
  <si>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</si>
  <si>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</si>
  <si>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</si>
  <si>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</si>
  <si>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</si>
  <si>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</si>
  <si>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</si>
  <si>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</si>
  <si>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</si>
  <si>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</si>
  <si>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</si>
  <si>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</si>
  <si>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</si>
  <si>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</si>
  <si>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</si>
  <si>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</si>
  <si>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</si>
  <si>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</si>
  <si>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</si>
  <si>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</si>
  <si>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</si>
  <si>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</si>
  <si>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</si>
  <si>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</si>
  <si>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</si>
  <si>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</si>
  <si>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</si>
  <si>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</si>
  <si>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</si>
  <si>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</si>
  <si>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</si>
  <si>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</si>
  <si>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</si>
  <si>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</si>
  <si>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</si>
  <si>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</si>
  <si>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</si>
  <si>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</si>
  <si>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</si>
  <si>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</si>
  <si>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</si>
  <si>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</si>
  <si>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</si>
  <si>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</si>
  <si>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</si>
  <si>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</si>
  <si>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</si>
  <si>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</si>
  <si>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</si>
  <si>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</si>
  <si>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</si>
  <si>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</si>
  <si>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</si>
  <si>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</si>
  <si>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</si>
  <si>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</si>
  <si>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</si>
  <si>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</si>
  <si>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</si>
  <si>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</si>
  <si>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</si>
  <si>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</si>
  <si>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</si>
  <si>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</si>
  <si>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</si>
  <si>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</si>
  <si>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</si>
  <si>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</si>
  <si>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</si>
  <si>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</si>
  <si>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</si>
  <si>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</si>
  <si>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</si>
  <si>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</si>
  <si>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</si>
  <si>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</si>
  <si>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</si>
  <si>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</si>
  <si>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</si>
  <si>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</si>
  <si>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</si>
  <si>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</si>
  <si>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</si>
  <si>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</si>
  <si>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</si>
  <si>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</si>
  <si>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</si>
  <si>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</si>
  <si>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</si>
  <si>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</si>
  <si>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</si>
  <si>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</si>
  <si>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</si>
  <si>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</si>
  <si>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</si>
  <si>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</si>
  <si>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</si>
  <si>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</si>
  <si>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</si>
  <si>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</si>
  <si>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</si>
  <si>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</si>
  <si>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</si>
  <si>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</si>
  <si>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</si>
  <si>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</si>
  <si>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</si>
  <si>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</si>
  <si>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</si>
  <si>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</si>
  <si>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</si>
  <si>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</si>
  <si>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</si>
  <si>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</si>
  <si>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</si>
  <si>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</si>
  <si>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</si>
  <si>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</si>
  <si>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</si>
  <si>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</si>
  <si>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</si>
  <si>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</si>
  <si>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</si>
  <si>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</si>
  <si>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</si>
  <si>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</si>
  <si>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</si>
  <si>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</si>
  <si>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</si>
  <si>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</si>
  <si>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</si>
  <si>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</si>
  <si>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</si>
  <si>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</si>
  <si>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</si>
  <si>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</si>
  <si>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</si>
  <si>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</si>
  <si>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</si>
  <si>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</si>
  <si>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</si>
  <si>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</si>
  <si>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</si>
  <si>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</si>
  <si>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</si>
  <si>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</si>
  <si>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</si>
  <si>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</si>
  <si>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</si>
  <si>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</si>
  <si>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</si>
  <si>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</si>
  <si>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</si>
  <si>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</si>
  <si>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</si>
  <si>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</si>
  <si>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</si>
  <si>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</si>
  <si>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</si>
  <si>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</si>
  <si>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</si>
  <si>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</si>
  <si>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</si>
  <si>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</si>
  <si>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</si>
  <si>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</si>
  <si>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</si>
  <si>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</si>
  <si>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</si>
  <si>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</si>
  <si>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</si>
  <si>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</si>
  <si>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</si>
  <si>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</si>
  <si>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</si>
  <si>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</si>
  <si>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</si>
  <si>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</si>
  <si>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</si>
  <si>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</si>
  <si>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</si>
  <si>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</si>
  <si>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</si>
  <si>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</si>
  <si>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</si>
  <si>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</si>
  <si>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</si>
  <si>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</si>
  <si>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</si>
  <si>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</si>
  <si>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</si>
  <si>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</si>
  <si>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</si>
  <si>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</si>
  <si>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</si>
  <si>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</si>
  <si>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</si>
  <si>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</si>
  <si>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</si>
  <si>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</si>
  <si>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</si>
  <si>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</si>
  <si>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</si>
  <si>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</si>
  <si>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</si>
  <si>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</si>
  <si>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</si>
  <si>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</si>
  <si>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</si>
  <si>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</si>
  <si>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</si>
  <si>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</si>
  <si>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</si>
  <si>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</si>
  <si>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</si>
  <si>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</si>
  <si>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</si>
  <si>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</si>
  <si>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</si>
  <si>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</si>
  <si>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</si>
  <si>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</si>
  <si>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</si>
  <si>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</si>
  <si>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</si>
  <si>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</si>
  <si>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</si>
  <si>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</si>
  <si>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</si>
  <si>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</si>
  <si>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</si>
  <si>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</si>
  <si>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</si>
  <si>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</si>
  <si>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</si>
  <si>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</si>
  <si>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</si>
  <si>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</si>
  <si>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</si>
  <si>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</si>
  <si>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</si>
  <si>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</si>
  <si>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</si>
  <si>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</si>
  <si>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</si>
  <si>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</si>
  <si>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</si>
  <si>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</si>
  <si>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</si>
  <si>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</si>
  <si>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</si>
  <si>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</si>
  <si>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</si>
  <si>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</si>
  <si>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</si>
  <si>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</si>
  <si>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</si>
  <si>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</si>
  <si>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</si>
  <si>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</si>
  <si>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</si>
  <si>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</si>
  <si>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</si>
  <si>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</si>
  <si>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</si>
  <si>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</si>
  <si>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</si>
  <si>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</si>
  <si>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</si>
  <si>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</si>
  <si>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</si>
  <si>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</si>
  <si>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</si>
  <si>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</si>
  <si>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</si>
  <si>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</si>
  <si>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</si>
  <si>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</si>
  <si>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</si>
  <si>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</si>
  <si>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</si>
  <si>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</si>
  <si>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</si>
  <si>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</si>
  <si>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</si>
  <si>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</si>
  <si>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</si>
  <si>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</si>
  <si>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</si>
  <si>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</si>
  <si>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</si>
  <si>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</si>
  <si>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</si>
  <si>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</si>
  <si>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</si>
  <si>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</si>
  <si>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</si>
  <si>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</si>
  <si>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</si>
  <si>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</si>
  <si>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</si>
  <si>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</si>
  <si>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</si>
  <si>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</si>
  <si>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</si>
  <si>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</si>
  <si>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</si>
  <si>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</si>
  <si>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</si>
  <si>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</si>
  <si>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</si>
  <si>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</si>
  <si>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</si>
  <si>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</si>
  <si>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</si>
  <si>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</si>
  <si>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</si>
  <si>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</si>
  <si>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</si>
  <si>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</si>
  <si>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</si>
  <si>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</si>
  <si>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</si>
  <si>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</si>
  <si>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</si>
  <si>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</si>
  <si>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</si>
  <si>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</si>
  <si>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</si>
  <si>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</si>
  <si>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</si>
  <si>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</si>
  <si>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</si>
  <si>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</si>
  <si>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</si>
  <si>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</si>
  <si>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</si>
  <si>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</si>
  <si>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</si>
  <si>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</si>
  <si>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</si>
  <si>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</si>
  <si>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</si>
  <si>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</si>
  <si>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</si>
  <si>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</si>
  <si>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</si>
  <si>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</si>
  <si>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</si>
  <si>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</si>
  <si>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</si>
  <si>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</si>
  <si>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</si>
  <si>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</si>
  <si>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</si>
  <si>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</si>
  <si>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</si>
  <si>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</si>
  <si>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</si>
  <si>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</si>
  <si>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</si>
  <si>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</si>
  <si>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</si>
  <si>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</si>
  <si>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</si>
  <si>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</si>
  <si>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</si>
  <si>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</si>
  <si>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</si>
  <si>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</si>
  <si>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</si>
  <si>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</si>
  <si>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</si>
  <si>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</si>
  <si>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</si>
  <si>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</si>
  <si>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</si>
  <si>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</si>
  <si>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</si>
  <si>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</si>
  <si>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</si>
  <si>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</si>
  <si>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</si>
  <si>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</si>
  <si>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</si>
  <si>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</si>
  <si>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</si>
  <si>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</si>
  <si>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</si>
  <si>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</si>
  <si>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</si>
  <si>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</si>
  <si>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</si>
  <si>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</si>
  <si>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</si>
  <si>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</si>
  <si>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</si>
  <si>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</si>
  <si>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</si>
  <si>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</si>
  <si>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</si>
  <si>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</si>
  <si>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</si>
  <si>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</si>
  <si>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</si>
  <si>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</si>
  <si>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</si>
  <si>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</si>
  <si>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</si>
  <si>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</si>
  <si>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</si>
  <si>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</si>
  <si>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</si>
  <si>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</si>
  <si>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</si>
  <si>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</si>
  <si>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</si>
  <si>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</si>
  <si>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</si>
  <si>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</si>
  <si>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</si>
  <si>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</si>
  <si>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</si>
  <si>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</si>
  <si>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</si>
  <si>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</si>
  <si>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</si>
  <si>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</si>
  <si>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</si>
  <si>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</si>
  <si>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</si>
  <si>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</si>
  <si>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</si>
  <si>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</si>
  <si>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</si>
  <si>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</si>
  <si>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</si>
  <si>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</si>
  <si>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</si>
  <si>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</si>
  <si>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</si>
  <si>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</si>
  <si>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</si>
  <si>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</si>
  <si>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</si>
  <si>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</si>
  <si>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</si>
  <si>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</si>
  <si>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</si>
  <si>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</si>
  <si>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</si>
  <si>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</si>
  <si>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</si>
  <si>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</si>
  <si>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</si>
  <si>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</si>
  <si>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</si>
  <si>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</si>
  <si>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</si>
  <si>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</si>
  <si>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</si>
  <si>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</si>
  <si>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</si>
  <si>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</si>
  <si>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</si>
  <si>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</si>
  <si>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</si>
  <si>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</si>
  <si>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</si>
  <si>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</si>
  <si>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</si>
  <si>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</si>
  <si>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</si>
  <si>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</si>
  <si>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</si>
  <si>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</si>
  <si>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</si>
  <si>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</si>
  <si>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</si>
  <si>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</si>
  <si>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</si>
  <si>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</si>
  <si>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</si>
  <si>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</si>
  <si>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</si>
  <si>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</si>
  <si>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</si>
  <si>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</si>
  <si>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</si>
  <si>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</si>
  <si>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</si>
  <si>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</si>
  <si>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</si>
  <si>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</si>
  <si>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</si>
  <si>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</si>
  <si>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Lincoln-Woodstock Cooperative School District</t>
  </si>
  <si>
    <t>NH Fish &amp; Game Grant</t>
  </si>
  <si>
    <t>Fresh Fruits &amp; Vegetables Grant</t>
  </si>
  <si>
    <t>06/10</t>
  </si>
  <si>
    <t>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</si>
</sst>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305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925705.37+4498.12</f>
        <v>930203.49</v>
      </c>
      <c r="G9" s="18"/>
      <c r="H9" s="18"/>
      <c r="I9" s="18"/>
      <c r="J9" s="67">
        <f>SUM(I439)</f>
        <v>237325.6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479560.45-89802</f>
        <v>389758.45</v>
      </c>
      <c r="G12" s="18"/>
      <c r="H12" s="18">
        <f>28494.73+9608.95+789+12383.95+2450+373.53</f>
        <v>54100.160000000003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15041.49</f>
        <v>15041.49</v>
      </c>
      <c r="H13" s="18">
        <f>13587.39+51693.94+24708.11</f>
        <v>89989.440000000002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25166.83</f>
        <v>25166.83</v>
      </c>
      <c r="G14" s="18">
        <f>3497.75</f>
        <v>3497.75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1345128.77</v>
      </c>
      <c r="G19" s="41">
        <f>SUM(G9:G18)</f>
        <v>18539.239999999998</v>
      </c>
      <c r="H19" s="41">
        <f>SUM(H9:H18)</f>
        <v>144089.60000000001</v>
      </c>
      <c r="I19" s="41">
        <f>SUM(I9:I18)</f>
        <v>0</v>
      </c>
      <c r="J19" s="41">
        <f>SUM(J9:J18)</f>
        <v>237325.6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257397.74+102685.02</f>
        <v>360082.76</v>
      </c>
      <c r="G22" s="18">
        <v>9495.57</v>
      </c>
      <c r="H22" s="18">
        <f>15967.98+2460.85+29397.2+19896.74+7058.1+17550.96+28494.73+8450+9583.95+37644.8-8179.94</f>
        <v>168325.37</v>
      </c>
      <c r="I22" s="18">
        <v>4500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102380.24+1998.12</f>
        <v>104378.36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289587.5</f>
        <v>289587.5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256.61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754405.23</v>
      </c>
      <c r="G32" s="41">
        <f>SUM(G22:G31)</f>
        <v>9495.57</v>
      </c>
      <c r="H32" s="41">
        <f>SUM(H22:H31)</f>
        <v>168325.37</v>
      </c>
      <c r="I32" s="41">
        <f>SUM(I22:I31)</f>
        <v>4500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9043.67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-53893.01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f>150000</f>
        <v>150000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237325.6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15760.79</v>
      </c>
      <c r="G49" s="18"/>
      <c r="H49" s="18">
        <f>689+28968.24</f>
        <v>29657.24</v>
      </c>
      <c r="I49" s="18">
        <v>-4500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474962.75-150000</f>
        <v>324962.75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590723.54</v>
      </c>
      <c r="G51" s="41">
        <f>SUM(G35:G50)</f>
        <v>9043.67</v>
      </c>
      <c r="H51" s="41">
        <f>SUM(H35:H50)</f>
        <v>-24235.77</v>
      </c>
      <c r="I51" s="41">
        <f>SUM(I35:I50)</f>
        <v>-4500</v>
      </c>
      <c r="J51" s="41">
        <f>SUM(J35:J50)</f>
        <v>237325.6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1345128.77</v>
      </c>
      <c r="G52" s="41">
        <f>G51+G32</f>
        <v>18539.239999999998</v>
      </c>
      <c r="H52" s="41">
        <f>H51+H32</f>
        <v>144089.60000000001</v>
      </c>
      <c r="I52" s="41">
        <f>I51+I32</f>
        <v>0</v>
      </c>
      <c r="J52" s="41">
        <f>J51+J32</f>
        <v>237325.6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3399518</f>
        <v>3399518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3399518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5000.0600000000004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5200.0600000000004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10.08</f>
        <v>10.08</v>
      </c>
      <c r="G96" s="18"/>
      <c r="H96" s="18"/>
      <c r="I96" s="18"/>
      <c r="J96" s="18">
        <f>26.69</f>
        <v>26.69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6496.23+28953.05+8456.85+6002.05+8486.6+825</f>
        <v>59219.78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1361</f>
        <v>1361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900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4122.92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4465.95+4145.02</f>
        <v>8610.9700000000012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15209.970000000001</v>
      </c>
      <c r="G111" s="41">
        <f>SUM(G96:G110)</f>
        <v>59219.78</v>
      </c>
      <c r="H111" s="41">
        <f>SUM(H96:H110)</f>
        <v>0</v>
      </c>
      <c r="I111" s="41">
        <f>SUM(I96:I110)</f>
        <v>0</v>
      </c>
      <c r="J111" s="41">
        <f>SUM(J96:J110)</f>
        <v>26.69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3419928.0300000003</v>
      </c>
      <c r="G112" s="41">
        <f>G60+G111</f>
        <v>59219.78</v>
      </c>
      <c r="H112" s="41">
        <f>H60+H79+H94+H111</f>
        <v>0</v>
      </c>
      <c r="I112" s="41">
        <f>I60+I111</f>
        <v>0</v>
      </c>
      <c r="J112" s="41">
        <f>J60+J111</f>
        <v>26.69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230501.86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2524907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2755408.86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122872.06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8444.7999999999993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1831.5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266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131316.85999999999</v>
      </c>
      <c r="G136" s="41">
        <f>SUM(G123:G135)</f>
        <v>1831.5</v>
      </c>
      <c r="H136" s="41">
        <f>SUM(H123:H135)</f>
        <v>266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2886725.7199999997</v>
      </c>
      <c r="G140" s="41">
        <f>G121+SUM(G136:G137)</f>
        <v>1831.5</v>
      </c>
      <c r="H140" s="41">
        <f>H121+SUM(H136:H139)</f>
        <v>266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6499.28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6499.28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97305.85</f>
        <v>97305.85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22495.62+13967.4</f>
        <v>36463.019999999997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3897.52+3172.01+78421.91+6452.24</f>
        <v>91943.680000000008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755.25+69021.67</f>
        <v>69776.92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96558.01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96558.01</v>
      </c>
      <c r="G162" s="41">
        <f>SUM(G150:G161)</f>
        <v>91943.680000000008</v>
      </c>
      <c r="H162" s="41">
        <f>SUM(H150:H161)</f>
        <v>203545.78999999998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61489.58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158047.59</v>
      </c>
      <c r="G169" s="41">
        <f>G147+G162+SUM(G163:G168)</f>
        <v>91943.680000000008</v>
      </c>
      <c r="H169" s="41">
        <f>H147+H162+SUM(H163:H168)</f>
        <v>210045.06999999998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16391.650000000001</v>
      </c>
      <c r="H179" s="18"/>
      <c r="I179" s="18"/>
      <c r="J179" s="18">
        <v>161820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2476.88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2476.88</v>
      </c>
      <c r="G183" s="41">
        <f>SUM(G179:G182)</f>
        <v>16391.650000000001</v>
      </c>
      <c r="H183" s="41">
        <f>SUM(H179:H182)</f>
        <v>0</v>
      </c>
      <c r="I183" s="41">
        <f>SUM(I179:I182)</f>
        <v>0</v>
      </c>
      <c r="J183" s="41">
        <f>SUM(J179:J182)</f>
        <v>161820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2476.88</v>
      </c>
      <c r="G192" s="41">
        <f>G183+SUM(G188:G191)</f>
        <v>16391.650000000001</v>
      </c>
      <c r="H192" s="41">
        <f>+H183+SUM(H188:H191)</f>
        <v>0</v>
      </c>
      <c r="I192" s="41">
        <f>I177+I183+SUM(I188:I191)</f>
        <v>0</v>
      </c>
      <c r="J192" s="41">
        <f>J183</f>
        <v>161820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6467178.2199999997</v>
      </c>
      <c r="G193" s="47">
        <f>G112+G140+G169+G192</f>
        <v>169386.61000000002</v>
      </c>
      <c r="H193" s="47">
        <f>H112+H140+H169+H192</f>
        <v>210311.06999999998</v>
      </c>
      <c r="I193" s="47">
        <f>I112+I140+I169+I192</f>
        <v>0</v>
      </c>
      <c r="J193" s="47">
        <f>J112+J140+J192</f>
        <v>161846.69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746617.34+22328.65</f>
        <v>768945.99</v>
      </c>
      <c r="G197" s="18">
        <f>191532.32+4618.26+872.85+340.2+55019.44+106569.42+2474.74+918.58</f>
        <v>362345.81000000006</v>
      </c>
      <c r="H197" s="18">
        <f>4825.39+3341.9+6214.63+150+5.98+492.94</f>
        <v>15030.840000000002</v>
      </c>
      <c r="I197" s="18">
        <f>11081.41+6820.76+6669.5+916.98+1416.18+69+59</f>
        <v>27032.829999999998</v>
      </c>
      <c r="J197" s="18">
        <f>38.9+1226.26+6159+377.98</f>
        <v>7802.1399999999994</v>
      </c>
      <c r="K197" s="18">
        <f>1392</f>
        <v>1392</v>
      </c>
      <c r="L197" s="19">
        <f>SUM(F197:K197)</f>
        <v>1182549.6100000001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181072.2+4845+1865+2000</f>
        <v>189782.2</v>
      </c>
      <c r="G198" s="18">
        <f>63163.94+2563.77+187.21+12787.92+5762.54+18050.22+600.18+222.78+136.35+187.62+6.18+2.29+136.12+64.62+198.24</f>
        <v>104069.97999999998</v>
      </c>
      <c r="H198" s="18">
        <f>3899.78+4041.85+155.49+505.22+4200+55308.96+79438.6+308</f>
        <v>147857.90000000002</v>
      </c>
      <c r="I198" s="18">
        <f>102.26+39+2289.98</f>
        <v>2431.2399999999998</v>
      </c>
      <c r="J198" s="18">
        <f>59.37+120.24+399</f>
        <v>578.61</v>
      </c>
      <c r="K198" s="18">
        <f>384.95+160</f>
        <v>544.95000000000005</v>
      </c>
      <c r="L198" s="19">
        <f>SUM(F198:K198)</f>
        <v>445264.88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839+11711</f>
        <v>12550</v>
      </c>
      <c r="G200" s="18">
        <f>59.69+118.8+1.03+875.65+136.25+1214.22</f>
        <v>2405.6400000000003</v>
      </c>
      <c r="H200" s="18">
        <f>-121.68+200</f>
        <v>78.319999999999993</v>
      </c>
      <c r="I200" s="18"/>
      <c r="J200" s="18"/>
      <c r="K200" s="18"/>
      <c r="L200" s="19">
        <f>SUM(F200:K200)</f>
        <v>15033.96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46334+15361.2+19756.08+743.75</f>
        <v>82195.03</v>
      </c>
      <c r="G202" s="18">
        <f>17730.72+366.03+62.4+3211.46+6560.84+153.58+57.01+5510+153.54+15.6+1091+2175.15+50.92+18.9+13134.24+366.03+15.6+1312.59+2127.74+65.48+24.31+56.91+80.1</f>
        <v>54340.149999999994</v>
      </c>
      <c r="H202" s="18">
        <f>1050+434.01+1750+29620.08+41852.69+920.53+31397.87+1020+325</f>
        <v>108370.18</v>
      </c>
      <c r="I202" s="18">
        <f>91.17+166.3+373.33+119.28+525.73</f>
        <v>1275.81</v>
      </c>
      <c r="J202" s="18"/>
      <c r="K202" s="18">
        <f>184+1000</f>
        <v>1184</v>
      </c>
      <c r="L202" s="19">
        <f t="shared" ref="L202:L208" si="0">SUM(F202:K202)</f>
        <v>247365.16999999998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21349.61</f>
        <v>21349.61</v>
      </c>
      <c r="G203" s="18">
        <f>2334+7947+2705+4596.99+128.15+26.17+1553.51+3023.03+70.77+26.27</f>
        <v>22410.889999999996</v>
      </c>
      <c r="H203" s="18">
        <f>2725.04+50+12403.94</f>
        <v>15178.98</v>
      </c>
      <c r="I203" s="18">
        <f>253.29+120.95+4649.09+488.58+1094.79+527.48+293.58+37.52</f>
        <v>7465.2800000000007</v>
      </c>
      <c r="J203" s="18"/>
      <c r="K203" s="18"/>
      <c r="L203" s="19">
        <f t="shared" si="0"/>
        <v>66404.759999999995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2835+321.3+1512+466.2+119572.57</f>
        <v>124707.07</v>
      </c>
      <c r="G204" s="18">
        <f>216.88+20.79+34.68+115.68+34.69+11.31+27637.29+768.59+275.89+8572.1+6195.66+3898.18+396.34+147.11+969.22</f>
        <v>49294.409999999996</v>
      </c>
      <c r="H204" s="18">
        <f>1260+254.03+505.06+2753.52+4445.08+7326.53+5346.52+407.48+4750+864.58+467.77+2537.73+53.7+1761.85+205</f>
        <v>32938.85</v>
      </c>
      <c r="I204" s="18">
        <f>114.66+50.07+381.79+1484.62+716.54+537.38+16.38</f>
        <v>3301.44</v>
      </c>
      <c r="J204" s="18"/>
      <c r="K204" s="18">
        <f>1351.77+127.13+1346.3+36.02</f>
        <v>2861.22</v>
      </c>
      <c r="L204" s="19">
        <f t="shared" si="0"/>
        <v>213102.99000000002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90860.55</f>
        <v>90860.55</v>
      </c>
      <c r="G205" s="18">
        <f>17512.12+659.01+243.36+6636.97+2571.57+9484.89+301.17+111.79+242.58</f>
        <v>37763.46</v>
      </c>
      <c r="H205" s="18">
        <f>3001.7+555.2+1209+2333.39</f>
        <v>7099.2899999999991</v>
      </c>
      <c r="I205" s="18">
        <f>2183.49</f>
        <v>2183.4899999999998</v>
      </c>
      <c r="J205" s="18">
        <f>2301.56</f>
        <v>2301.56</v>
      </c>
      <c r="K205" s="18">
        <f>2182.46+102.64</f>
        <v>2285.1</v>
      </c>
      <c r="L205" s="19">
        <f t="shared" si="0"/>
        <v>142493.45000000001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28569.15</f>
        <v>28569.15</v>
      </c>
      <c r="G207" s="18">
        <f>13568.24+24.2+15.6+1987.25+3076.96+94.7+35.15+60</f>
        <v>18862.100000000002</v>
      </c>
      <c r="H207" s="18">
        <f>2381.29+1240.05+185.49+6701.08+247.5+37.78+16.97+545.99</f>
        <v>11356.15</v>
      </c>
      <c r="I207" s="18">
        <f>10933.84+22629.88+37092.4+619.08+539.01</f>
        <v>71814.209999999992</v>
      </c>
      <c r="J207" s="18">
        <f>527.7+142.8</f>
        <v>670.5</v>
      </c>
      <c r="K207" s="18">
        <f>4777.4</f>
        <v>4777.3999999999996</v>
      </c>
      <c r="L207" s="19">
        <f t="shared" si="0"/>
        <v>136049.50999999998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431.75+7290.24</f>
        <v>7721.99</v>
      </c>
      <c r="G208" s="18">
        <f>7.8+33.04+1.43+0.53+2647.71+147.57+516.9+785.19+24.16+8.97</f>
        <v>4173.3</v>
      </c>
      <c r="H208" s="18">
        <f>2728.71+31616.3+2326+1160+475+425+245+375+400</f>
        <v>39751.01</v>
      </c>
      <c r="I208" s="18">
        <f>9.12+4484.65</f>
        <v>4493.7699999999995</v>
      </c>
      <c r="J208" s="18">
        <f>9526.02</f>
        <v>9526.02</v>
      </c>
      <c r="K208" s="18"/>
      <c r="L208" s="19">
        <f t="shared" si="0"/>
        <v>65666.09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431.76</v>
      </c>
      <c r="I209" s="18"/>
      <c r="J209" s="18"/>
      <c r="K209" s="18"/>
      <c r="L209" s="19">
        <f>SUM(F209:K209)</f>
        <v>431.76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1326681.5900000001</v>
      </c>
      <c r="G211" s="41">
        <f t="shared" si="1"/>
        <v>655665.74000000011</v>
      </c>
      <c r="H211" s="41">
        <f t="shared" si="1"/>
        <v>378093.27999999997</v>
      </c>
      <c r="I211" s="41">
        <f t="shared" si="1"/>
        <v>119998.06999999999</v>
      </c>
      <c r="J211" s="41">
        <f t="shared" si="1"/>
        <v>20878.830000000002</v>
      </c>
      <c r="K211" s="41">
        <f t="shared" si="1"/>
        <v>13044.67</v>
      </c>
      <c r="L211" s="41">
        <f t="shared" si="1"/>
        <v>2514362.1799999997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444603.02+10285</f>
        <v>454888.02</v>
      </c>
      <c r="G215" s="18">
        <f>110015.37+3040.28+447.95+186.3+33264.49+64189.74+1473.68+547.01</f>
        <v>213164.81999999998</v>
      </c>
      <c r="H215" s="18">
        <f>2341.29+1897.65+3403.25+160.16</f>
        <v>7802.35</v>
      </c>
      <c r="I215" s="18">
        <f>6369.29+749.96+7545.48+306.37+524.17</f>
        <v>15495.27</v>
      </c>
      <c r="J215" s="18">
        <f>189.96+477.5+3069</f>
        <v>3736.46</v>
      </c>
      <c r="K215" s="18">
        <v>1008</v>
      </c>
      <c r="L215" s="19">
        <f>SUM(F215:K215)</f>
        <v>696094.91999999993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85402.52+2000+1461.25</f>
        <v>88863.77</v>
      </c>
      <c r="G216" s="18">
        <f>39829.5+732.06+119.6+5934.81+2887.57+8235.77+283.08+105.07+111.19+89.25+14.16+4.84+1.8</f>
        <v>58348.700000000004</v>
      </c>
      <c r="H216" s="18">
        <f>500+2213.37+86.38+6466.47</f>
        <v>9266.2200000000012</v>
      </c>
      <c r="I216" s="18">
        <f>107.26+148.15+40.55</f>
        <v>295.96000000000004</v>
      </c>
      <c r="J216" s="18">
        <f>51.8</f>
        <v>51.8</v>
      </c>
      <c r="K216" s="18">
        <f>790</f>
        <v>790</v>
      </c>
      <c r="L216" s="19">
        <f>SUM(F216:K216)</f>
        <v>157616.44999999998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11144+3200</f>
        <v>14344</v>
      </c>
      <c r="G218" s="18">
        <f>871.75+712.42+39.72+13.71+237.58+453.12</f>
        <v>2328.3000000000002</v>
      </c>
      <c r="H218" s="18">
        <f>2516</f>
        <v>2516</v>
      </c>
      <c r="I218" s="18"/>
      <c r="J218" s="18"/>
      <c r="K218" s="18">
        <f>901.25</f>
        <v>901.25</v>
      </c>
      <c r="L218" s="19">
        <f>SUM(F218:K218)</f>
        <v>20089.55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30433.97+8461.1</f>
        <v>38895.07</v>
      </c>
      <c r="G220" s="18">
        <f>9910.25+164.81+6.24+2223.59+1551.41+2269.8+100.88+37.44+3041.34+84.78+600.78+1198.13+28.05+10.41</f>
        <v>21227.909999999996</v>
      </c>
      <c r="H220" s="18">
        <f>575+237.79+145+1000+16220.52+5897.38+200</f>
        <v>24275.690000000002</v>
      </c>
      <c r="I220" s="18">
        <f>83.41+93.25+65.32</f>
        <v>241.98</v>
      </c>
      <c r="J220" s="18"/>
      <c r="K220" s="18"/>
      <c r="L220" s="19">
        <f t="shared" ref="L220:L226" si="2">SUM(F220:K220)</f>
        <v>84640.65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14639.79</f>
        <v>14639.79</v>
      </c>
      <c r="G221" s="18">
        <f>1156.3+4381+3152.2+87.86+13.19+1065.34+2072.98+48.53+18.01</f>
        <v>11995.410000000002</v>
      </c>
      <c r="H221" s="18">
        <f>435.94+50+6792.72</f>
        <v>7278.66</v>
      </c>
      <c r="I221" s="18">
        <f>176.74+118.28+948.96+267.55+800.96+1062.92+160.77+21.96</f>
        <v>3558.14</v>
      </c>
      <c r="J221" s="18">
        <f>131.8</f>
        <v>131.80000000000001</v>
      </c>
      <c r="K221" s="18"/>
      <c r="L221" s="19">
        <f t="shared" si="2"/>
        <v>37603.800000000003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1672.5+175.95+828+255.3+65479.26</f>
        <v>68411.010000000009</v>
      </c>
      <c r="G222" s="18">
        <f>127.96+11.49+18.87+63.32+18.99+6.19+15134.13+421.15+163.99+4694.06+3392.55+2134.6+217.04+80.56+480.93</f>
        <v>26965.829999999998</v>
      </c>
      <c r="H222" s="18">
        <f>690.01+208.42+139.75+276.57+1507.88+2394.92+4031.58+2929.99+223.14+2850+473.42+258.13+1389.72+29.1+964.82+120</f>
        <v>18487.449999999997</v>
      </c>
      <c r="I222" s="18">
        <f>62.79+27.41+209.08+824.97+392.38+294.28+8.97</f>
        <v>1819.88</v>
      </c>
      <c r="J222" s="18"/>
      <c r="K222" s="18">
        <f>740.25+69.62+737.26+231</f>
        <v>1778.13</v>
      </c>
      <c r="L222" s="19">
        <f t="shared" si="2"/>
        <v>117462.30000000002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69753.36</f>
        <v>69753.36</v>
      </c>
      <c r="G223" s="18">
        <f>6567.22+366.03+119.17+5217.67+1832.5+7467.97+231.2+85.82+45.77</f>
        <v>21933.350000000002</v>
      </c>
      <c r="H223" s="18">
        <f>1643.8+306.29+659.63+751.42</f>
        <v>3361.14</v>
      </c>
      <c r="I223" s="18">
        <f>732.15+323.75</f>
        <v>1055.9000000000001</v>
      </c>
      <c r="J223" s="18">
        <f>1260.38</f>
        <v>1260.3800000000001</v>
      </c>
      <c r="K223" s="18">
        <f>1428.99+52.66</f>
        <v>1481.65</v>
      </c>
      <c r="L223" s="19">
        <f t="shared" si="2"/>
        <v>98845.78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45628.33</f>
        <v>45628.33</v>
      </c>
      <c r="G225" s="18">
        <f>13419.47+15.91+15.6+3294.68+2817.22+151.24+56.14+60</f>
        <v>19830.260000000002</v>
      </c>
      <c r="H225" s="18">
        <f>7076.79+1732.99+2104.73+3669.66+161.25+14.2+9.29+299</f>
        <v>15067.910000000002</v>
      </c>
      <c r="I225" s="18">
        <f>6624.13+22922.59+26722.58+605.29+295.16</f>
        <v>57169.750000000007</v>
      </c>
      <c r="J225" s="18">
        <f>742.75+78.2</f>
        <v>820.95</v>
      </c>
      <c r="K225" s="18">
        <f>3854.43</f>
        <v>3854.43</v>
      </c>
      <c r="L225" s="19">
        <f t="shared" si="2"/>
        <v>142371.63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17313.7+100+160+6464.7+8942.41</f>
        <v>32980.81</v>
      </c>
      <c r="I226" s="18">
        <f>294.39+1186.4</f>
        <v>1480.79</v>
      </c>
      <c r="J226" s="18"/>
      <c r="K226" s="18"/>
      <c r="L226" s="19">
        <f t="shared" si="2"/>
        <v>34461.599999999999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236.44</v>
      </c>
      <c r="I227" s="18"/>
      <c r="J227" s="18"/>
      <c r="K227" s="18"/>
      <c r="L227" s="19">
        <f>SUM(F227:K227)</f>
        <v>236.44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795423.35</v>
      </c>
      <c r="G229" s="41">
        <f>SUM(G215:G228)</f>
        <v>375794.5799999999</v>
      </c>
      <c r="H229" s="41">
        <f>SUM(H215:H228)</f>
        <v>121272.67</v>
      </c>
      <c r="I229" s="41">
        <f>SUM(I215:I228)</f>
        <v>81117.67</v>
      </c>
      <c r="J229" s="41">
        <f>SUM(J215:J228)</f>
        <v>6001.39</v>
      </c>
      <c r="K229" s="41">
        <f t="shared" si="3"/>
        <v>9813.4600000000009</v>
      </c>
      <c r="L229" s="41">
        <f t="shared" si="3"/>
        <v>1389423.12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663067.43+22298.35</f>
        <v>685365.78</v>
      </c>
      <c r="G233" s="18">
        <f>155937.69+6094.23+904.28+283.5+51254.26+107.71+92513.84+2197.81+815.79</f>
        <v>310109.11</v>
      </c>
      <c r="H233" s="18">
        <f>3562.82+4399.74+5178.86+18767.23+1471.77</f>
        <v>33380.42</v>
      </c>
      <c r="I233" s="18">
        <f>8372.62+7410.78+14.43+2432.58+12081.57+200+2884.36+42.11</f>
        <v>33438.450000000004</v>
      </c>
      <c r="J233" s="18">
        <f>3010.84+3717.87+3476.44+12765.12+1219.23+434.47</f>
        <v>24623.97</v>
      </c>
      <c r="K233" s="18">
        <f>2961.85</f>
        <v>2961.85</v>
      </c>
      <c r="L233" s="19">
        <f>SUM(F233:K233)</f>
        <v>1089879.58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128654.23+4865+1810</f>
        <v>135329.22999999998</v>
      </c>
      <c r="G234" s="18">
        <f>22797.12+1357.98+156+10259.73+4063.42+12824.42+426.44+158.29+138.47+176.1+24.78+6+2.23</f>
        <v>52390.98</v>
      </c>
      <c r="H234" s="18">
        <f>1825+3372.17+129.87+63212.22+23321.74+163683.62+99.68-55590</f>
        <v>200054.3</v>
      </c>
      <c r="I234" s="18">
        <f>1076.05+549.3+370.32+36.76+60.71</f>
        <v>2093.14</v>
      </c>
      <c r="J234" s="18">
        <f>156.37</f>
        <v>156.37</v>
      </c>
      <c r="K234" s="18"/>
      <c r="L234" s="19">
        <f>SUM(F234:K234)</f>
        <v>390024.02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20490.75</v>
      </c>
      <c r="I235" s="18">
        <v>52.35</v>
      </c>
      <c r="J235" s="18"/>
      <c r="K235" s="18"/>
      <c r="L235" s="19">
        <f>SUM(F235:K235)</f>
        <v>20543.099999999999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38962.24+3000</f>
        <v>41962.239999999998</v>
      </c>
      <c r="G236" s="18">
        <f>2951.25+250.55+2481.66+129.14+47.94+70+224.55+424.8</f>
        <v>6579.89</v>
      </c>
      <c r="H236" s="18">
        <f>384+9194</f>
        <v>9578</v>
      </c>
      <c r="I236" s="18">
        <f>14786.87+300+631.42+2855</f>
        <v>18573.29</v>
      </c>
      <c r="J236" s="18">
        <f>1458</f>
        <v>1458</v>
      </c>
      <c r="K236" s="18">
        <f>5782</f>
        <v>5782</v>
      </c>
      <c r="L236" s="19">
        <f>SUM(F236:K236)</f>
        <v>83933.42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41650.07+12783.13</f>
        <v>54433.2</v>
      </c>
      <c r="G238" s="18">
        <f>15811.87+201.22+71.76+3249.38+1895.94+3404.92+138.05+51.24+4582.9+127.71+907.85+1810.06+42.37+15.73</f>
        <v>32310.999999999996</v>
      </c>
      <c r="H238" s="18">
        <f>23000+3129.5+437.44+361.58+565.1+145+1587.5+24683.4+618.75+1891.59+200</f>
        <v>56619.86</v>
      </c>
      <c r="I238" s="18">
        <f>83.39+595+143.25+99.4</f>
        <v>921.04</v>
      </c>
      <c r="J238" s="18"/>
      <c r="K238" s="18"/>
      <c r="L238" s="19">
        <f t="shared" ref="L238:L244" si="4">SUM(F238:K238)</f>
        <v>144285.1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4000+36560.56</f>
        <v>40560.559999999998</v>
      </c>
      <c r="G239" s="18">
        <f>294.01+53.84+495.6+1968.27+7044+1040+11952.17+150.02+21.84+2607.87+3541.44+121.18+44.98+1195</f>
        <v>30530.219999999998</v>
      </c>
      <c r="H239" s="18">
        <f>2232.37+380.1+10336.67</f>
        <v>12949.14</v>
      </c>
      <c r="I239" s="18">
        <f>477.32+194.95+1672.62+407.15+1105.7+1385.64+244.65+32.02</f>
        <v>5520.05</v>
      </c>
      <c r="J239" s="18">
        <f>164.75</f>
        <v>164.75</v>
      </c>
      <c r="K239" s="18">
        <f>101.23</f>
        <v>101.23</v>
      </c>
      <c r="L239" s="19">
        <f t="shared" si="4"/>
        <v>89825.95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2242.5+267.75+1260+388.5+99631.98</f>
        <v>103790.73</v>
      </c>
      <c r="G240" s="18">
        <f>171.54+17.52+28.75+96.4+28.97+9.42+23024.85+640.41+222.23+7142.43+5161.87+3248.44+330.24+122.58+780.85</f>
        <v>41026.5</v>
      </c>
      <c r="H240" s="18">
        <f>1050+208.42+212.57+420.87+2294.6+3683.06+6389.65+4456.58+339.56+3800+720.5+391.33+2226.75+37.64+1545.52+175</f>
        <v>27952.050000000003</v>
      </c>
      <c r="I240" s="18">
        <f>95.55+41.72+318.16+1236.46+597.1+447.82+13.65</f>
        <v>2750.4600000000005</v>
      </c>
      <c r="J240" s="18"/>
      <c r="K240" s="18">
        <f>1126.47+105.95+1121.92+128</f>
        <v>2482.34</v>
      </c>
      <c r="L240" s="19">
        <f t="shared" si="4"/>
        <v>178002.07999999996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78260.35</f>
        <v>78260.350000000006</v>
      </c>
      <c r="G241" s="18">
        <f>6567.22+439.08+194.39+5866.36+2748.75+7467.52+259.4+96.29+269.65</f>
        <v>23908.660000000003</v>
      </c>
      <c r="H241" s="18">
        <f>2501.43+466.24+1008.35+773.02+362.7</f>
        <v>5111.74</v>
      </c>
      <c r="I241" s="18">
        <f>1002.92+1069.93</f>
        <v>2072.85</v>
      </c>
      <c r="J241" s="18">
        <f>1917.97</f>
        <v>1917.97</v>
      </c>
      <c r="K241" s="18">
        <f>1674.55+244.58</f>
        <v>1919.1299999999999</v>
      </c>
      <c r="L241" s="19">
        <f t="shared" si="4"/>
        <v>113190.70000000003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38850.66+4323</f>
        <v>43173.66</v>
      </c>
      <c r="G243" s="18">
        <f>543.72+30.29+31.2+3294.07+4133.56+128.77+47.8+60</f>
        <v>8269.41</v>
      </c>
      <c r="H243" s="18">
        <f>10165.04+5843.15+1644.73+3659.96+206.25+192.04+14.14+2379.3+188.6</f>
        <v>24293.21</v>
      </c>
      <c r="I243" s="18">
        <f>9883.1+31250.36+37127.43+696.24+449.18+11618.5</f>
        <v>91024.81</v>
      </c>
      <c r="J243" s="18">
        <f>830.7+118.99</f>
        <v>949.69</v>
      </c>
      <c r="K243" s="18">
        <f>7059.19</f>
        <v>7059.19</v>
      </c>
      <c r="L243" s="19">
        <f t="shared" si="4"/>
        <v>174769.97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5566+18175.7+1199+404.25</f>
        <v>25344.95</v>
      </c>
      <c r="G244" s="18">
        <f>425.79+18.45+6.85+3871.92+215.82+1330.29+1185.95+60.24+22.34+47.49+2.64+90.98+15.99+30.93</f>
        <v>7325.6799999999994</v>
      </c>
      <c r="H244" s="18">
        <f>26347+7297+14657.8+2068.25</f>
        <v>50370.05</v>
      </c>
      <c r="I244" s="18">
        <f>1127.02+314.38+8796.4</f>
        <v>10237.799999999999</v>
      </c>
      <c r="J244" s="18"/>
      <c r="K244" s="18"/>
      <c r="L244" s="19">
        <f t="shared" si="4"/>
        <v>93278.48000000001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359.8</v>
      </c>
      <c r="I245" s="18"/>
      <c r="J245" s="18"/>
      <c r="K245" s="18"/>
      <c r="L245" s="19">
        <f>SUM(F245:K245)</f>
        <v>359.8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1208220.7</v>
      </c>
      <c r="G247" s="41">
        <f t="shared" si="5"/>
        <v>512451.44999999995</v>
      </c>
      <c r="H247" s="41">
        <f t="shared" si="5"/>
        <v>441159.31999999995</v>
      </c>
      <c r="I247" s="41">
        <f t="shared" si="5"/>
        <v>166684.24</v>
      </c>
      <c r="J247" s="41">
        <f t="shared" si="5"/>
        <v>29270.75</v>
      </c>
      <c r="K247" s="41">
        <f t="shared" si="5"/>
        <v>20305.739999999998</v>
      </c>
      <c r="L247" s="41">
        <f t="shared" si="5"/>
        <v>2378092.2000000002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3330325.6399999997</v>
      </c>
      <c r="G257" s="41">
        <f t="shared" si="8"/>
        <v>1543911.77</v>
      </c>
      <c r="H257" s="41">
        <f t="shared" si="8"/>
        <v>940525.2699999999</v>
      </c>
      <c r="I257" s="41">
        <f t="shared" si="8"/>
        <v>367799.98</v>
      </c>
      <c r="J257" s="41">
        <f t="shared" si="8"/>
        <v>56150.97</v>
      </c>
      <c r="K257" s="41">
        <f t="shared" si="8"/>
        <v>43163.869999999995</v>
      </c>
      <c r="L257" s="41">
        <f t="shared" si="8"/>
        <v>6281877.5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71925.570000000007</v>
      </c>
      <c r="L260" s="19">
        <f>SUM(F260:K260)</f>
        <v>71925.570000000007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2302.83</v>
      </c>
      <c r="L261" s="19">
        <f>SUM(F261:K261)</f>
        <v>2302.83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16391.650000000001</v>
      </c>
      <c r="L263" s="19">
        <f>SUM(F263:K263)</f>
        <v>16391.650000000001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161820</v>
      </c>
      <c r="L266" s="19">
        <f t="shared" si="9"/>
        <v>161820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55590</v>
      </c>
      <c r="L268" s="19">
        <f t="shared" si="9"/>
        <v>55590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308030.05000000005</v>
      </c>
      <c r="L270" s="41">
        <f t="shared" si="9"/>
        <v>308030.05000000005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3330325.6399999997</v>
      </c>
      <c r="G271" s="42">
        <f t="shared" si="11"/>
        <v>1543911.77</v>
      </c>
      <c r="H271" s="42">
        <f t="shared" si="11"/>
        <v>940525.2699999999</v>
      </c>
      <c r="I271" s="42">
        <f t="shared" si="11"/>
        <v>367799.98</v>
      </c>
      <c r="J271" s="42">
        <f t="shared" si="11"/>
        <v>56150.97</v>
      </c>
      <c r="K271" s="42">
        <f t="shared" si="11"/>
        <v>351193.92000000004</v>
      </c>
      <c r="L271" s="42">
        <f t="shared" si="11"/>
        <v>6589907.5499999998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67570</f>
        <v>67570</v>
      </c>
      <c r="G276" s="18">
        <f>6567.12+366.03+4949.39+9082.82</f>
        <v>20965.36</v>
      </c>
      <c r="H276" s="18"/>
      <c r="I276" s="18">
        <f>263.51+2034.91+4605.56+6499.28+910</f>
        <v>14313.26</v>
      </c>
      <c r="J276" s="18">
        <f>784</f>
        <v>784</v>
      </c>
      <c r="K276" s="18"/>
      <c r="L276" s="19">
        <f>SUM(F276:K276)</f>
        <v>103632.62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330+12616</f>
        <v>12946</v>
      </c>
      <c r="G277" s="18">
        <f>25.25+965+1399</f>
        <v>2389.25</v>
      </c>
      <c r="H277" s="18">
        <f>10156.2</f>
        <v>10156.200000000001</v>
      </c>
      <c r="I277" s="18">
        <f>270.43+58.98+870.18</f>
        <v>1199.5899999999999</v>
      </c>
      <c r="J277" s="18">
        <f>951</f>
        <v>951</v>
      </c>
      <c r="K277" s="18">
        <v>100</v>
      </c>
      <c r="L277" s="19">
        <f>SUM(F277:K277)</f>
        <v>27742.04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135.02+4005</f>
        <v>4140.0200000000004</v>
      </c>
      <c r="I281" s="18"/>
      <c r="J281" s="18"/>
      <c r="K281" s="18"/>
      <c r="L281" s="19">
        <f t="shared" ref="L281:L287" si="12">SUM(F281:K281)</f>
        <v>4140.0200000000004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1150+1500</f>
        <v>2650</v>
      </c>
      <c r="G282" s="18"/>
      <c r="H282" s="18">
        <f>300+1995</f>
        <v>2295</v>
      </c>
      <c r="I282" s="18"/>
      <c r="J282" s="18"/>
      <c r="K282" s="18"/>
      <c r="L282" s="19">
        <f t="shared" si="12"/>
        <v>4945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83166</v>
      </c>
      <c r="G290" s="42">
        <f t="shared" si="13"/>
        <v>23354.61</v>
      </c>
      <c r="H290" s="42">
        <f t="shared" si="13"/>
        <v>16591.22</v>
      </c>
      <c r="I290" s="42">
        <f t="shared" si="13"/>
        <v>15512.85</v>
      </c>
      <c r="J290" s="42">
        <f t="shared" si="13"/>
        <v>1735</v>
      </c>
      <c r="K290" s="42">
        <f t="shared" si="13"/>
        <v>100</v>
      </c>
      <c r="L290" s="41">
        <f t="shared" si="13"/>
        <v>140459.68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664</v>
      </c>
      <c r="J295" s="18">
        <f>392</f>
        <v>392</v>
      </c>
      <c r="K295" s="18">
        <v>800</v>
      </c>
      <c r="L295" s="19">
        <f>SUM(F295:K295)</f>
        <v>1856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14400</f>
        <v>14400</v>
      </c>
      <c r="G296" s="18">
        <f>1102+1597</f>
        <v>2699</v>
      </c>
      <c r="H296" s="18">
        <f>900.76</f>
        <v>900.76</v>
      </c>
      <c r="I296" s="18">
        <f>131.9+58.98+310.12</f>
        <v>501</v>
      </c>
      <c r="J296" s="18">
        <f>276</f>
        <v>276</v>
      </c>
      <c r="K296" s="18"/>
      <c r="L296" s="19">
        <f>SUM(F296:K296)</f>
        <v>18776.759999999998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57.5+325</f>
        <v>382.5</v>
      </c>
      <c r="I300" s="18"/>
      <c r="J300" s="18"/>
      <c r="K300" s="18"/>
      <c r="L300" s="19">
        <f t="shared" ref="L300:L306" si="14">SUM(F300:K300)</f>
        <v>382.5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550+1100</f>
        <v>1650</v>
      </c>
      <c r="G301" s="18"/>
      <c r="H301" s="18">
        <f>730.38+677.5+1867.41</f>
        <v>3275.29</v>
      </c>
      <c r="I301" s="18"/>
      <c r="J301" s="18"/>
      <c r="K301" s="18"/>
      <c r="L301" s="19">
        <f t="shared" si="14"/>
        <v>4925.29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16050</v>
      </c>
      <c r="G309" s="42">
        <f t="shared" si="15"/>
        <v>2699</v>
      </c>
      <c r="H309" s="42">
        <f t="shared" si="15"/>
        <v>4558.55</v>
      </c>
      <c r="I309" s="42">
        <f t="shared" si="15"/>
        <v>1165</v>
      </c>
      <c r="J309" s="42">
        <f t="shared" si="15"/>
        <v>668</v>
      </c>
      <c r="K309" s="42">
        <f t="shared" si="15"/>
        <v>800</v>
      </c>
      <c r="L309" s="41">
        <f t="shared" si="15"/>
        <v>25940.55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>
        <f>3785</f>
        <v>3785</v>
      </c>
      <c r="K314" s="18">
        <f>2496.4</f>
        <v>2496.4</v>
      </c>
      <c r="L314" s="19">
        <f>SUM(F314:K314)</f>
        <v>6281.4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12513</f>
        <v>12513</v>
      </c>
      <c r="G315" s="18">
        <f>957</f>
        <v>957</v>
      </c>
      <c r="H315" s="18">
        <f>5197.54</f>
        <v>5197.54</v>
      </c>
      <c r="I315" s="18">
        <f>462.65</f>
        <v>462.65</v>
      </c>
      <c r="J315" s="18">
        <f>552</f>
        <v>552</v>
      </c>
      <c r="K315" s="18"/>
      <c r="L315" s="19">
        <f>SUM(F315:K315)</f>
        <v>19682.190000000002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87.5+325</f>
        <v>412.5</v>
      </c>
      <c r="I319" s="18"/>
      <c r="J319" s="18"/>
      <c r="K319" s="18"/>
      <c r="L319" s="19">
        <f t="shared" ref="L319:L325" si="16">SUM(F319:K319)</f>
        <v>412.5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1950+5900</f>
        <v>7850</v>
      </c>
      <c r="G320" s="18"/>
      <c r="H320" s="18">
        <f>4754.98+2015.35+700</f>
        <v>7470.33</v>
      </c>
      <c r="I320" s="18"/>
      <c r="J320" s="18"/>
      <c r="K320" s="18"/>
      <c r="L320" s="19">
        <f t="shared" si="16"/>
        <v>15320.33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20363</v>
      </c>
      <c r="G328" s="42">
        <f t="shared" si="17"/>
        <v>957</v>
      </c>
      <c r="H328" s="42">
        <f t="shared" si="17"/>
        <v>13080.369999999999</v>
      </c>
      <c r="I328" s="42">
        <f t="shared" si="17"/>
        <v>462.65</v>
      </c>
      <c r="J328" s="42">
        <f t="shared" si="17"/>
        <v>4337</v>
      </c>
      <c r="K328" s="42">
        <f t="shared" si="17"/>
        <v>2496.4</v>
      </c>
      <c r="L328" s="41">
        <f t="shared" si="17"/>
        <v>41696.420000000006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119579</v>
      </c>
      <c r="G338" s="41">
        <f t="shared" si="20"/>
        <v>27010.61</v>
      </c>
      <c r="H338" s="41">
        <f t="shared" si="20"/>
        <v>34230.14</v>
      </c>
      <c r="I338" s="41">
        <f t="shared" si="20"/>
        <v>17140.5</v>
      </c>
      <c r="J338" s="41">
        <f t="shared" si="20"/>
        <v>6740</v>
      </c>
      <c r="K338" s="41">
        <f t="shared" si="20"/>
        <v>3396.4</v>
      </c>
      <c r="L338" s="41">
        <f t="shared" si="20"/>
        <v>208096.65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2476.88</v>
      </c>
      <c r="L344" s="19">
        <f t="shared" ref="L344:L350" si="21">SUM(F344:K344)</f>
        <v>2476.88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2476.88</v>
      </c>
      <c r="L351" s="41">
        <f>SUM(L341:L350)</f>
        <v>2476.88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119579</v>
      </c>
      <c r="G352" s="41">
        <f>G338</f>
        <v>27010.61</v>
      </c>
      <c r="H352" s="41">
        <f>H338</f>
        <v>34230.14</v>
      </c>
      <c r="I352" s="41">
        <f>I338</f>
        <v>17140.5</v>
      </c>
      <c r="J352" s="41">
        <f>J338</f>
        <v>6740</v>
      </c>
      <c r="K352" s="47">
        <f>K338+K351</f>
        <v>5873.2800000000007</v>
      </c>
      <c r="L352" s="41">
        <f>L338+L351</f>
        <v>210573.53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1330.72+71837.22</f>
        <v>73167.94</v>
      </c>
      <c r="I358" s="18">
        <f>703.98</f>
        <v>703.98</v>
      </c>
      <c r="J358" s="18"/>
      <c r="K358" s="18">
        <v>-6499.28</v>
      </c>
      <c r="L358" s="13">
        <f>SUM(F358:K358)</f>
        <v>67372.639999999999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729.1+39339.47</f>
        <v>40068.57</v>
      </c>
      <c r="I359" s="18">
        <f>385.51</f>
        <v>385.51</v>
      </c>
      <c r="J359" s="18"/>
      <c r="K359" s="18"/>
      <c r="L359" s="19">
        <f>SUM(F359:K359)</f>
        <v>40454.080000000002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1108.92+59864.31</f>
        <v>60973.229999999996</v>
      </c>
      <c r="I360" s="18">
        <f>586.66</f>
        <v>586.66</v>
      </c>
      <c r="J360" s="18"/>
      <c r="K360" s="18"/>
      <c r="L360" s="19">
        <f>SUM(F360:K360)</f>
        <v>61559.89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174209.74</v>
      </c>
      <c r="I362" s="47">
        <f t="shared" si="22"/>
        <v>1676.15</v>
      </c>
      <c r="J362" s="47">
        <f t="shared" si="22"/>
        <v>0</v>
      </c>
      <c r="K362" s="47">
        <f t="shared" si="22"/>
        <v>-6499.28</v>
      </c>
      <c r="L362" s="47">
        <f t="shared" si="22"/>
        <v>169386.61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703.98</v>
      </c>
      <c r="G368" s="63">
        <v>385.51</v>
      </c>
      <c r="H368" s="63">
        <v>586.66</v>
      </c>
      <c r="I368" s="56">
        <f>SUM(F368:H368)</f>
        <v>1676.15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703.98</v>
      </c>
      <c r="G369" s="47">
        <f>SUM(G367:G368)</f>
        <v>385.51</v>
      </c>
      <c r="H369" s="47">
        <f>SUM(H367:H368)</f>
        <v>586.66</v>
      </c>
      <c r="I369" s="47">
        <f>SUM(I367:I368)</f>
        <v>1676.15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7.96</v>
      </c>
      <c r="I396" s="18"/>
      <c r="J396" s="24" t="s">
        <v>289</v>
      </c>
      <c r="K396" s="24" t="s">
        <v>289</v>
      </c>
      <c r="L396" s="56">
        <f t="shared" si="26"/>
        <v>50007.96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71820</v>
      </c>
      <c r="H397" s="18">
        <v>8.0299999999999994</v>
      </c>
      <c r="I397" s="18"/>
      <c r="J397" s="24" t="s">
        <v>289</v>
      </c>
      <c r="K397" s="24" t="s">
        <v>289</v>
      </c>
      <c r="L397" s="56">
        <f t="shared" si="26"/>
        <v>71828.03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2.31</v>
      </c>
      <c r="I399" s="18"/>
      <c r="J399" s="24" t="s">
        <v>289</v>
      </c>
      <c r="K399" s="24" t="s">
        <v>289</v>
      </c>
      <c r="L399" s="56">
        <f t="shared" si="26"/>
        <v>10002.31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f>5000+20000+5000</f>
        <v>30000</v>
      </c>
      <c r="H400" s="18">
        <f>1.96+4.13+2.3</f>
        <v>8.39</v>
      </c>
      <c r="I400" s="18"/>
      <c r="J400" s="24" t="s">
        <v>289</v>
      </c>
      <c r="K400" s="24" t="s">
        <v>289</v>
      </c>
      <c r="L400" s="56">
        <f t="shared" si="26"/>
        <v>30008.39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161820</v>
      </c>
      <c r="H401" s="47">
        <f>SUM(H395:H400)</f>
        <v>26.689999999999998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161846.69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161820</v>
      </c>
      <c r="H408" s="47">
        <f>H393+H401+H407</f>
        <v>26.689999999999998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161846.69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f>51128.4</f>
        <v>51128.4</v>
      </c>
      <c r="I422" s="18"/>
      <c r="J422" s="18"/>
      <c r="K422" s="18"/>
      <c r="L422" s="56">
        <f t="shared" si="29"/>
        <v>51128.4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>
        <v>12531.28</v>
      </c>
      <c r="J425" s="18"/>
      <c r="K425" s="18"/>
      <c r="L425" s="56">
        <f t="shared" si="29"/>
        <v>12531.28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>
        <f>7860+30000</f>
        <v>37860</v>
      </c>
      <c r="K426" s="18"/>
      <c r="L426" s="56">
        <f t="shared" si="29"/>
        <v>37860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51128.4</v>
      </c>
      <c r="I427" s="47">
        <f t="shared" si="30"/>
        <v>12531.28</v>
      </c>
      <c r="J427" s="47">
        <f t="shared" si="30"/>
        <v>37860</v>
      </c>
      <c r="K427" s="47">
        <f t="shared" si="30"/>
        <v>0</v>
      </c>
      <c r="L427" s="47">
        <f t="shared" si="30"/>
        <v>101519.67999999999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51128.4</v>
      </c>
      <c r="I434" s="47">
        <f t="shared" si="32"/>
        <v>12531.28</v>
      </c>
      <c r="J434" s="47">
        <f t="shared" si="32"/>
        <v>37860</v>
      </c>
      <c r="K434" s="47">
        <f t="shared" si="32"/>
        <v>0</v>
      </c>
      <c r="L434" s="47">
        <f t="shared" si="32"/>
        <v>101519.67999999999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237325.6</f>
        <v>237325.6</v>
      </c>
      <c r="H439" s="18"/>
      <c r="I439" s="56">
        <f t="shared" ref="I439:I445" si="33">SUM(F439:H439)</f>
        <v>237325.6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237325.6</v>
      </c>
      <c r="H446" s="13">
        <f>SUM(H439:H445)</f>
        <v>0</v>
      </c>
      <c r="I446" s="13">
        <f>SUM(I439:I445)</f>
        <v>237325.6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237325.6</v>
      </c>
      <c r="H459" s="18"/>
      <c r="I459" s="56">
        <f t="shared" si="34"/>
        <v>237325.6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237325.6</v>
      </c>
      <c r="H460" s="83">
        <f>SUM(H454:H459)</f>
        <v>0</v>
      </c>
      <c r="I460" s="83">
        <f>SUM(I454:I459)</f>
        <v>237325.6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237325.6</v>
      </c>
      <c r="H461" s="42">
        <f>H452+H460</f>
        <v>0</v>
      </c>
      <c r="I461" s="42">
        <f>I452+I460</f>
        <v>237325.6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713452.87</v>
      </c>
      <c r="G465" s="18">
        <v>9043.67</v>
      </c>
      <c r="H465" s="18">
        <v>-23973.31</v>
      </c>
      <c r="I465" s="18">
        <v>-4500</v>
      </c>
      <c r="J465" s="18">
        <v>176998.59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6464701.34+2476.88</f>
        <v>6467178.2199999997</v>
      </c>
      <c r="G468" s="18">
        <v>169386.61</v>
      </c>
      <c r="H468" s="18">
        <v>210311.07</v>
      </c>
      <c r="I468" s="18"/>
      <c r="J468" s="18">
        <f>161820+26.69</f>
        <v>161846.69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6467178.2199999997</v>
      </c>
      <c r="G470" s="53">
        <f>SUM(G468:G469)</f>
        <v>169386.61</v>
      </c>
      <c r="H470" s="53">
        <f>SUM(H468:H469)</f>
        <v>210311.07</v>
      </c>
      <c r="I470" s="53">
        <f>SUM(I468:I469)</f>
        <v>0</v>
      </c>
      <c r="J470" s="53">
        <f>SUM(J468:J469)</f>
        <v>161846.69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6587430.67+2476.88</f>
        <v>6589907.5499999998</v>
      </c>
      <c r="G472" s="18">
        <v>169386.61</v>
      </c>
      <c r="H472" s="18">
        <v>210573.53</v>
      </c>
      <c r="I472" s="18"/>
      <c r="J472" s="18">
        <f>101519.68</f>
        <v>101519.67999999999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6589907.5499999998</v>
      </c>
      <c r="G474" s="53">
        <f>SUM(G472:G473)</f>
        <v>169386.61</v>
      </c>
      <c r="H474" s="53">
        <f>SUM(H472:H473)</f>
        <v>210573.53</v>
      </c>
      <c r="I474" s="53">
        <f>SUM(I472:I473)</f>
        <v>0</v>
      </c>
      <c r="J474" s="53">
        <f>SUM(J472:J473)</f>
        <v>101519.67999999999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590723.54</v>
      </c>
      <c r="G476" s="53">
        <f>(G465+G470)- G474</f>
        <v>9043.6700000000128</v>
      </c>
      <c r="H476" s="53">
        <f>(H465+H470)- H474</f>
        <v>-24235.76999999999</v>
      </c>
      <c r="I476" s="53">
        <f>(I465+I470)- I474</f>
        <v>-4500</v>
      </c>
      <c r="J476" s="53">
        <f>(J465+J470)- J474</f>
        <v>237325.60000000003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1.78E-2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145165.43</v>
      </c>
      <c r="G495" s="18"/>
      <c r="H495" s="18"/>
      <c r="I495" s="18"/>
      <c r="J495" s="18"/>
      <c r="K495" s="53">
        <f>SUM(F495:J495)</f>
        <v>145165.43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35800.7+36130.04</f>
        <v>71930.739999999991</v>
      </c>
      <c r="G497" s="18"/>
      <c r="H497" s="18"/>
      <c r="I497" s="18"/>
      <c r="J497" s="18"/>
      <c r="K497" s="53">
        <f t="shared" si="35"/>
        <v>71930.739999999991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73234.69</v>
      </c>
      <c r="G498" s="204"/>
      <c r="H498" s="204"/>
      <c r="I498" s="204"/>
      <c r="J498" s="204"/>
      <c r="K498" s="205">
        <f t="shared" si="35"/>
        <v>73234.69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662.65+331</f>
        <v>993.65</v>
      </c>
      <c r="G499" s="18"/>
      <c r="H499" s="18"/>
      <c r="I499" s="18"/>
      <c r="J499" s="18"/>
      <c r="K499" s="53">
        <f t="shared" si="35"/>
        <v>993.65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74228.34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74228.34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36451.55+36783.14</f>
        <v>73234.69</v>
      </c>
      <c r="G501" s="204"/>
      <c r="H501" s="204"/>
      <c r="I501" s="204"/>
      <c r="J501" s="204"/>
      <c r="K501" s="205">
        <f t="shared" si="35"/>
        <v>73234.69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662.65+331</f>
        <v>993.65</v>
      </c>
      <c r="G502" s="18"/>
      <c r="H502" s="18"/>
      <c r="I502" s="18"/>
      <c r="J502" s="18"/>
      <c r="K502" s="53">
        <f t="shared" si="35"/>
        <v>993.65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74228.34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74228.34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200728.2</f>
        <v>200728.2</v>
      </c>
      <c r="G521" s="18">
        <v>106060.25</v>
      </c>
      <c r="H521" s="18">
        <v>158014.1</v>
      </c>
      <c r="I521" s="18">
        <v>1340.85</v>
      </c>
      <c r="J521" s="18">
        <v>1130.6099999999999</v>
      </c>
      <c r="K521" s="18">
        <v>484.95</v>
      </c>
      <c r="L521" s="88">
        <f>SUM(F521:K521)</f>
        <v>467758.96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103263.77</v>
      </c>
      <c r="G522" s="18">
        <v>61047.7</v>
      </c>
      <c r="H522" s="18">
        <v>10166.98</v>
      </c>
      <c r="I522" s="18">
        <v>756.41</v>
      </c>
      <c r="J522" s="18">
        <v>327.8</v>
      </c>
      <c r="K522" s="18"/>
      <c r="L522" s="88">
        <f>SUM(F522:K522)</f>
        <v>175562.66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147842.23000000001</v>
      </c>
      <c r="G523" s="18">
        <v>53347.98</v>
      </c>
      <c r="H523" s="18">
        <v>205251.84</v>
      </c>
      <c r="I523" s="18">
        <v>2495.08</v>
      </c>
      <c r="J523" s="18">
        <v>708.37</v>
      </c>
      <c r="K523" s="18"/>
      <c r="L523" s="88">
        <f>SUM(F523:K523)</f>
        <v>409645.50000000006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451834.20000000007</v>
      </c>
      <c r="G524" s="108">
        <f t="shared" ref="G524:L524" si="36">SUM(G521:G523)</f>
        <v>220455.93000000002</v>
      </c>
      <c r="H524" s="108">
        <f t="shared" si="36"/>
        <v>373432.92000000004</v>
      </c>
      <c r="I524" s="108">
        <f t="shared" si="36"/>
        <v>4592.34</v>
      </c>
      <c r="J524" s="108">
        <f t="shared" si="36"/>
        <v>2166.7799999999997</v>
      </c>
      <c r="K524" s="108">
        <f t="shared" si="36"/>
        <v>484.95</v>
      </c>
      <c r="L524" s="89">
        <f t="shared" si="36"/>
        <v>1052967.1200000001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20499.830000000002</v>
      </c>
      <c r="G526" s="18">
        <v>17183</v>
      </c>
      <c r="H526" s="18">
        <v>104811.17</v>
      </c>
      <c r="I526" s="18">
        <v>525.73</v>
      </c>
      <c r="J526" s="18"/>
      <c r="K526" s="18">
        <v>1000</v>
      </c>
      <c r="L526" s="88">
        <f>SUM(F526:K526)</f>
        <v>144019.73000000001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22117.9</v>
      </c>
      <c r="I527" s="18"/>
      <c r="J527" s="18"/>
      <c r="K527" s="18"/>
      <c r="L527" s="88">
        <f>SUM(F527:K527)</f>
        <v>22117.9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27893.74</v>
      </c>
      <c r="I528" s="18"/>
      <c r="J528" s="18"/>
      <c r="K528" s="18"/>
      <c r="L528" s="88">
        <f>SUM(F528:K528)</f>
        <v>27893.74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20499.830000000002</v>
      </c>
      <c r="G529" s="89">
        <f t="shared" ref="G529:L529" si="37">SUM(G526:G528)</f>
        <v>17183</v>
      </c>
      <c r="H529" s="89">
        <f t="shared" si="37"/>
        <v>154822.81</v>
      </c>
      <c r="I529" s="89">
        <f t="shared" si="37"/>
        <v>525.73</v>
      </c>
      <c r="J529" s="89">
        <f t="shared" si="37"/>
        <v>0</v>
      </c>
      <c r="K529" s="89">
        <f t="shared" si="37"/>
        <v>1000</v>
      </c>
      <c r="L529" s="89">
        <f t="shared" si="37"/>
        <v>194031.37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27528.9</v>
      </c>
      <c r="G531" s="18">
        <v>6937.28</v>
      </c>
      <c r="H531" s="18"/>
      <c r="I531" s="18"/>
      <c r="J531" s="18"/>
      <c r="K531" s="18"/>
      <c r="L531" s="88">
        <f>SUM(F531:K531)</f>
        <v>34466.18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15075.35</v>
      </c>
      <c r="G532" s="18">
        <v>3798.99</v>
      </c>
      <c r="H532" s="18"/>
      <c r="I532" s="18"/>
      <c r="J532" s="18"/>
      <c r="K532" s="18"/>
      <c r="L532" s="88">
        <f>SUM(F532:K532)</f>
        <v>18874.34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22940.75</v>
      </c>
      <c r="G533" s="18">
        <v>5781.07</v>
      </c>
      <c r="H533" s="18"/>
      <c r="I533" s="18"/>
      <c r="J533" s="18"/>
      <c r="K533" s="18"/>
      <c r="L533" s="88">
        <f>SUM(F533:K533)</f>
        <v>28721.82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65545</v>
      </c>
      <c r="G534" s="89">
        <f t="shared" ref="G534:L534" si="38">SUM(G531:G533)</f>
        <v>16517.34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82062.34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7290.24</v>
      </c>
      <c r="G541" s="18">
        <v>6456.5</v>
      </c>
      <c r="H541" s="18"/>
      <c r="I541" s="18"/>
      <c r="J541" s="18"/>
      <c r="K541" s="18"/>
      <c r="L541" s="88">
        <f>SUM(F541:K541)</f>
        <v>13746.74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260</v>
      </c>
      <c r="I542" s="18">
        <v>1186.4000000000001</v>
      </c>
      <c r="J542" s="18"/>
      <c r="K542" s="18"/>
      <c r="L542" s="88">
        <f>SUM(F542:K542)</f>
        <v>1446.4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5566</v>
      </c>
      <c r="G543" s="18">
        <v>451.09</v>
      </c>
      <c r="H543" s="18"/>
      <c r="I543" s="18">
        <v>1127.02</v>
      </c>
      <c r="J543" s="18"/>
      <c r="K543" s="18"/>
      <c r="L543" s="88">
        <f>SUM(F543:K543)</f>
        <v>7144.1100000000006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12856.24</v>
      </c>
      <c r="G544" s="193">
        <f t="shared" ref="G544:L544" si="40">SUM(G541:G543)</f>
        <v>6907.59</v>
      </c>
      <c r="H544" s="193">
        <f t="shared" si="40"/>
        <v>260</v>
      </c>
      <c r="I544" s="193">
        <f t="shared" si="40"/>
        <v>2313.42</v>
      </c>
      <c r="J544" s="193">
        <f t="shared" si="40"/>
        <v>0</v>
      </c>
      <c r="K544" s="193">
        <f t="shared" si="40"/>
        <v>0</v>
      </c>
      <c r="L544" s="193">
        <f t="shared" si="40"/>
        <v>22337.25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550735.27</v>
      </c>
      <c r="G545" s="89">
        <f t="shared" ref="G545:L545" si="41">G524+G529+G534+G539+G544</f>
        <v>261063.86000000002</v>
      </c>
      <c r="H545" s="89">
        <f t="shared" si="41"/>
        <v>528515.73</v>
      </c>
      <c r="I545" s="89">
        <f t="shared" si="41"/>
        <v>7431.49</v>
      </c>
      <c r="J545" s="89">
        <f t="shared" si="41"/>
        <v>2166.7799999999997</v>
      </c>
      <c r="K545" s="89">
        <f t="shared" si="41"/>
        <v>1484.95</v>
      </c>
      <c r="L545" s="89">
        <f t="shared" si="41"/>
        <v>1351398.0800000003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467758.96</v>
      </c>
      <c r="G549" s="87">
        <f>L526</f>
        <v>144019.73000000001</v>
      </c>
      <c r="H549" s="87">
        <f>L531</f>
        <v>34466.18</v>
      </c>
      <c r="I549" s="87">
        <f>L536</f>
        <v>0</v>
      </c>
      <c r="J549" s="87">
        <f>L541</f>
        <v>13746.74</v>
      </c>
      <c r="K549" s="87">
        <f>SUM(F549:J549)</f>
        <v>659991.6100000001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175562.66</v>
      </c>
      <c r="G550" s="87">
        <f>L527</f>
        <v>22117.9</v>
      </c>
      <c r="H550" s="87">
        <f>L532</f>
        <v>18874.34</v>
      </c>
      <c r="I550" s="87">
        <f>L537</f>
        <v>0</v>
      </c>
      <c r="J550" s="87">
        <f>L542</f>
        <v>1446.4</v>
      </c>
      <c r="K550" s="87">
        <f>SUM(F550:J550)</f>
        <v>218001.3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409645.50000000006</v>
      </c>
      <c r="G551" s="87">
        <f>L528</f>
        <v>27893.74</v>
      </c>
      <c r="H551" s="87">
        <f>L533</f>
        <v>28721.82</v>
      </c>
      <c r="I551" s="87">
        <f>L538</f>
        <v>0</v>
      </c>
      <c r="J551" s="87">
        <f>L543</f>
        <v>7144.1100000000006</v>
      </c>
      <c r="K551" s="87">
        <f>SUM(F551:J551)</f>
        <v>473405.17000000004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1052967.1200000001</v>
      </c>
      <c r="G552" s="89">
        <f t="shared" si="42"/>
        <v>194031.37</v>
      </c>
      <c r="H552" s="89">
        <f t="shared" si="42"/>
        <v>82062.34</v>
      </c>
      <c r="I552" s="89">
        <f t="shared" si="42"/>
        <v>0</v>
      </c>
      <c r="J552" s="89">
        <f t="shared" si="42"/>
        <v>22337.25</v>
      </c>
      <c r="K552" s="89">
        <f t="shared" si="42"/>
        <v>1351398.08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2000</v>
      </c>
      <c r="G567" s="18">
        <f>136.12+64.62+198.24</f>
        <v>398.98</v>
      </c>
      <c r="H567" s="18">
        <f>2289.98</f>
        <v>2289.98</v>
      </c>
      <c r="I567" s="18"/>
      <c r="J567" s="18"/>
      <c r="K567" s="18">
        <v>160</v>
      </c>
      <c r="L567" s="88">
        <f>SUM(F567:K567)</f>
        <v>4848.96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>
        <v>40.549999999999997</v>
      </c>
      <c r="J568" s="18"/>
      <c r="K568" s="18">
        <v>665</v>
      </c>
      <c r="L568" s="88">
        <f>SUM(F568:K568)</f>
        <v>705.55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>
        <v>125</v>
      </c>
      <c r="L569" s="88">
        <f>SUM(F569:K569)</f>
        <v>125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2000</v>
      </c>
      <c r="G570" s="193">
        <f t="shared" ref="G570:L570" si="45">SUM(G567:G569)</f>
        <v>398.98</v>
      </c>
      <c r="H570" s="193">
        <f t="shared" si="45"/>
        <v>2289.98</v>
      </c>
      <c r="I570" s="193">
        <f t="shared" si="45"/>
        <v>40.549999999999997</v>
      </c>
      <c r="J570" s="193">
        <f t="shared" si="45"/>
        <v>0</v>
      </c>
      <c r="K570" s="193">
        <f t="shared" si="45"/>
        <v>950</v>
      </c>
      <c r="L570" s="193">
        <f t="shared" si="45"/>
        <v>5679.51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2000</v>
      </c>
      <c r="G571" s="89">
        <f t="shared" ref="G571:L571" si="46">G560+G565+G570</f>
        <v>398.98</v>
      </c>
      <c r="H571" s="89">
        <f t="shared" si="46"/>
        <v>2289.98</v>
      </c>
      <c r="I571" s="89">
        <f t="shared" si="46"/>
        <v>40.549999999999997</v>
      </c>
      <c r="J571" s="89">
        <f t="shared" si="46"/>
        <v>0</v>
      </c>
      <c r="K571" s="89">
        <f t="shared" si="46"/>
        <v>950</v>
      </c>
      <c r="L571" s="89">
        <f t="shared" si="46"/>
        <v>5679.51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505.22</v>
      </c>
      <c r="G579" s="18">
        <f>6466.47</f>
        <v>6466.47</v>
      </c>
      <c r="H579" s="18">
        <f>7622.22</f>
        <v>7622.22</v>
      </c>
      <c r="I579" s="87">
        <f t="shared" si="47"/>
        <v>14593.91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4200+55308.96</f>
        <v>59508.959999999999</v>
      </c>
      <c r="G582" s="18"/>
      <c r="H582" s="18">
        <f>10753.14+12568.6</f>
        <v>23321.739999999998</v>
      </c>
      <c r="I582" s="87">
        <f t="shared" si="47"/>
        <v>82830.7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79438.6</f>
        <v>79438.600000000006</v>
      </c>
      <c r="G583" s="18"/>
      <c r="H583" s="18">
        <f>163683.62</f>
        <v>163683.62</v>
      </c>
      <c r="I583" s="87">
        <f t="shared" si="47"/>
        <v>243122.22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20490.75</f>
        <v>20490.75</v>
      </c>
      <c r="I584" s="87">
        <f t="shared" si="47"/>
        <v>20490.75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431.75+7.8+33.04+1.43+0.53+2728.71+31616.3+9.12+4484.65+9526.02</f>
        <v>48839.350000000006</v>
      </c>
      <c r="I591" s="18">
        <f>17313.7+294.39</f>
        <v>17608.09</v>
      </c>
      <c r="J591" s="18">
        <f>26347</f>
        <v>26347</v>
      </c>
      <c r="K591" s="104">
        <f t="shared" ref="K591:K597" si="48">SUM(H591:J591)</f>
        <v>92794.44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7290.24+2647.71+147.57+516.9+785.19+24.16+8.97+2326</f>
        <v>13746.74</v>
      </c>
      <c r="I592" s="18">
        <f>100+160+1186.4</f>
        <v>1446.4</v>
      </c>
      <c r="J592" s="18">
        <f>5566+425.79+18.45+6.85+1127.02</f>
        <v>7144.1100000000006</v>
      </c>
      <c r="K592" s="104">
        <f t="shared" si="48"/>
        <v>22337.25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41270.04</v>
      </c>
      <c r="K593" s="104">
        <f t="shared" si="48"/>
        <v>41270.04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6464.7</f>
        <v>6464.7</v>
      </c>
      <c r="J594" s="18">
        <f>1199+47.49+2.64+90.98+15.99+14657.8</f>
        <v>16013.9</v>
      </c>
      <c r="K594" s="104">
        <f t="shared" si="48"/>
        <v>22478.6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1160+475+425+245+375+400</f>
        <v>3080</v>
      </c>
      <c r="I595" s="18">
        <f>8942.41</f>
        <v>8942.41</v>
      </c>
      <c r="J595" s="18">
        <f>404.25+30.93+2068.25</f>
        <v>2503.4299999999998</v>
      </c>
      <c r="K595" s="104">
        <f t="shared" si="48"/>
        <v>14525.84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65666.09</v>
      </c>
      <c r="I598" s="108">
        <f>SUM(I591:I597)</f>
        <v>34461.600000000006</v>
      </c>
      <c r="J598" s="108">
        <f>SUM(J591:J597)</f>
        <v>93278.479999999981</v>
      </c>
      <c r="K598" s="108">
        <f>SUM(K591:K597)</f>
        <v>193406.17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7802.14+179.61+2301.56+527.7+142.8+9526.02+1350+784</f>
        <v>22613.83</v>
      </c>
      <c r="I604" s="18">
        <f>3736.46+51.8+131.8+1260.38+742.75+78.2+276+392</f>
        <v>6669.39</v>
      </c>
      <c r="J604" s="18">
        <f>24189.5+1614.37+164.75+1917.97+830.7+118.99+434.47+552+3785</f>
        <v>33607.75</v>
      </c>
      <c r="K604" s="104">
        <f>SUM(H604:J604)</f>
        <v>62890.97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22613.83</v>
      </c>
      <c r="I605" s="108">
        <f>SUM(I602:I604)</f>
        <v>6669.39</v>
      </c>
      <c r="J605" s="108">
        <f>SUM(J602:J604)</f>
        <v>33607.75</v>
      </c>
      <c r="K605" s="108">
        <f>SUM(K602:K604)</f>
        <v>62890.97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11711+1865</f>
        <v>13576</v>
      </c>
      <c r="G611" s="18">
        <f>875.65+136.25+1214.22+200+136.35+187.62+6.18+2.29</f>
        <v>2758.5599999999995</v>
      </c>
      <c r="H611" s="18"/>
      <c r="I611" s="18">
        <f>-121.68+200</f>
        <v>78.319999999999993</v>
      </c>
      <c r="J611" s="18"/>
      <c r="K611" s="18"/>
      <c r="L611" s="88">
        <f>SUM(F611:K611)</f>
        <v>16412.88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3200+1461.25</f>
        <v>4661.25</v>
      </c>
      <c r="G612" s="18">
        <f>237.58+453.12+111.19+89.25+14.16+4.84+1.8</f>
        <v>911.94</v>
      </c>
      <c r="H612" s="18"/>
      <c r="I612" s="18"/>
      <c r="J612" s="18"/>
      <c r="K612" s="18"/>
      <c r="L612" s="88">
        <f>SUM(F612:K612)</f>
        <v>5573.1900000000005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3000+1810</f>
        <v>4810</v>
      </c>
      <c r="G613" s="18">
        <f>224.55+424.8+138.47+176.1+24.78+6+2.23</f>
        <v>996.93000000000006</v>
      </c>
      <c r="H613" s="18"/>
      <c r="I613" s="18">
        <f>631.42+36.76</f>
        <v>668.18</v>
      </c>
      <c r="J613" s="18"/>
      <c r="K613" s="18"/>
      <c r="L613" s="88">
        <f>SUM(F613:K613)</f>
        <v>6475.1100000000006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23047.25</v>
      </c>
      <c r="G614" s="108">
        <f t="shared" si="49"/>
        <v>4667.4299999999994</v>
      </c>
      <c r="H614" s="108">
        <f t="shared" si="49"/>
        <v>0</v>
      </c>
      <c r="I614" s="108">
        <f t="shared" si="49"/>
        <v>746.5</v>
      </c>
      <c r="J614" s="108">
        <f t="shared" si="49"/>
        <v>0</v>
      </c>
      <c r="K614" s="108">
        <f t="shared" si="49"/>
        <v>0</v>
      </c>
      <c r="L614" s="89">
        <f t="shared" si="49"/>
        <v>28461.18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1345128.77</v>
      </c>
      <c r="H617" s="109">
        <f>SUM(F52)</f>
        <v>1345128.77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18539.239999999998</v>
      </c>
      <c r="H618" s="109">
        <f>SUM(G52)</f>
        <v>18539.239999999998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144089.60000000001</v>
      </c>
      <c r="H619" s="109">
        <f>SUM(H52)</f>
        <v>144089.60000000001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237325.6</v>
      </c>
      <c r="H621" s="109">
        <f>SUM(J52)</f>
        <v>237325.6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590723.54</v>
      </c>
      <c r="H622" s="109">
        <f>F476</f>
        <v>590723.54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9043.67</v>
      </c>
      <c r="H623" s="109">
        <f>G476</f>
        <v>9043.6700000000128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-24235.77</v>
      </c>
      <c r="H624" s="109">
        <f>H476</f>
        <v>-24235.76999999999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-4500</v>
      </c>
      <c r="H625" s="109">
        <f>I476</f>
        <v>-4500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237325.6</v>
      </c>
      <c r="H626" s="109">
        <f>J476</f>
        <v>237325.60000000003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6467178.2199999997</v>
      </c>
      <c r="H627" s="104">
        <f>SUM(F468)</f>
        <v>6467178.2199999997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169386.61000000002</v>
      </c>
      <c r="H628" s="104">
        <f>SUM(G468)</f>
        <v>169386.61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210311.06999999998</v>
      </c>
      <c r="H629" s="104">
        <f>SUM(H468)</f>
        <v>210311.07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161846.69</v>
      </c>
      <c r="H631" s="104">
        <f>SUM(J468)</f>
        <v>161846.69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6589907.5499999998</v>
      </c>
      <c r="H632" s="104">
        <f>SUM(F472)</f>
        <v>6589907.5499999998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210573.53</v>
      </c>
      <c r="H633" s="104">
        <f>SUM(H472)</f>
        <v>210573.53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1676.15</v>
      </c>
      <c r="H634" s="104">
        <f>I369</f>
        <v>1676.15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169386.61</v>
      </c>
      <c r="H635" s="104">
        <f>SUM(G472)</f>
        <v>169386.61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161846.69</v>
      </c>
      <c r="H637" s="164">
        <f>SUM(J468)</f>
        <v>161846.69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101519.67999999999</v>
      </c>
      <c r="H638" s="164">
        <f>SUM(J472)</f>
        <v>101519.67999999999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237325.6</v>
      </c>
      <c r="H640" s="104">
        <f>SUM(G461)</f>
        <v>237325.6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237325.6</v>
      </c>
      <c r="H642" s="104">
        <f>SUM(I461)</f>
        <v>237325.6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26.69</v>
      </c>
      <c r="H644" s="104">
        <f>H408</f>
        <v>26.689999999999998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161820</v>
      </c>
      <c r="H645" s="104">
        <f>G408</f>
        <v>161820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161846.69</v>
      </c>
      <c r="H646" s="104">
        <f>L408</f>
        <v>161846.69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193406.17</v>
      </c>
      <c r="H647" s="104">
        <f>L208+L226+L244</f>
        <v>193406.17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62890.97</v>
      </c>
      <c r="H648" s="104">
        <f>(J257+J338)-(J255+J336)</f>
        <v>62890.97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65666.09</v>
      </c>
      <c r="H649" s="104">
        <f>H598</f>
        <v>65666.09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34461.599999999999</v>
      </c>
      <c r="H650" s="104">
        <f>I598</f>
        <v>34461.600000000006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93278.48000000001</v>
      </c>
      <c r="H651" s="104">
        <f>J598</f>
        <v>93278.479999999981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16391.650000000001</v>
      </c>
      <c r="H652" s="104">
        <f>K263+K345</f>
        <v>16391.650000000001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161820</v>
      </c>
      <c r="H655" s="104">
        <f>K266+K347</f>
        <v>161820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2722194.5</v>
      </c>
      <c r="G660" s="19">
        <f>(L229+L309+L359)</f>
        <v>1455817.7500000002</v>
      </c>
      <c r="H660" s="19">
        <f>(L247+L328+L360)</f>
        <v>2481348.5100000002</v>
      </c>
      <c r="I660" s="19">
        <f>SUM(F660:H660)</f>
        <v>6659360.7599999998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23554.358392432554</v>
      </c>
      <c r="G661" s="19">
        <f>(L359/IF(SUM(L358:L360)=0,1,SUM(L358:L360))*(SUM(G97:G110)))</f>
        <v>14143.27683694951</v>
      </c>
      <c r="H661" s="19">
        <f>(L360/IF(SUM(L358:L360)=0,1,SUM(L358:L360))*(SUM(G97:G110)))</f>
        <v>21522.144770617939</v>
      </c>
      <c r="I661" s="19">
        <f>SUM(F661:H661)</f>
        <v>59219.780000000006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56140.069999999992</v>
      </c>
      <c r="G662" s="19">
        <f>(L226+L306)-(J226+J306)</f>
        <v>34461.599999999999</v>
      </c>
      <c r="H662" s="19">
        <f>(L244+L325)-(J244+J325)</f>
        <v>93278.48000000001</v>
      </c>
      <c r="I662" s="19">
        <f>SUM(F662:H662)</f>
        <v>183880.15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178479.49</v>
      </c>
      <c r="G663" s="199">
        <f>SUM(G575:G587)+SUM(I602:I604)+L612</f>
        <v>18709.050000000003</v>
      </c>
      <c r="H663" s="199">
        <f>SUM(H575:H587)+SUM(J602:J604)+L613</f>
        <v>255201.19</v>
      </c>
      <c r="I663" s="19">
        <f>SUM(F663:H663)</f>
        <v>452389.73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2464020.5816075676</v>
      </c>
      <c r="G664" s="19">
        <f>G660-SUM(G661:G663)</f>
        <v>1388503.8231630507</v>
      </c>
      <c r="H664" s="19">
        <f>H660-SUM(H661:H663)</f>
        <v>2111346.6952293823</v>
      </c>
      <c r="I664" s="19">
        <f>I660-SUM(I661:I663)</f>
        <v>5963871.0999999996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142.43</f>
        <v>142.43</v>
      </c>
      <c r="G665" s="248">
        <f>78.32</f>
        <v>78.319999999999993</v>
      </c>
      <c r="H665" s="248">
        <f>107.5</f>
        <v>107.5</v>
      </c>
      <c r="I665" s="19">
        <f>SUM(F665:H665)</f>
        <v>328.25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17299.87</v>
      </c>
      <c r="G667" s="19">
        <f>ROUND(G664/G665,2)</f>
        <v>17728.599999999999</v>
      </c>
      <c r="H667" s="19">
        <f>ROUND(H664/H665,2)</f>
        <v>19640.43</v>
      </c>
      <c r="I667" s="19">
        <f>ROUND(I664/I665,2)</f>
        <v>18168.689999999999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-2.91</v>
      </c>
      <c r="I670" s="19">
        <f>SUM(F670:H670)</f>
        <v>-2.91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17299.87</v>
      </c>
      <c r="G672" s="19">
        <f>ROUND((G664+G669)/(G665+G670),2)</f>
        <v>17728.599999999999</v>
      </c>
      <c r="H672" s="19">
        <f>ROUND((H664+H669)/(H665+H670),2)</f>
        <v>20186.89</v>
      </c>
      <c r="I672" s="19">
        <f>ROUND((I664+I669)/(I665+I670),2)</f>
        <v>18331.2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Lincoln-Woodstock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1976769.79</v>
      </c>
      <c r="C9" s="229">
        <f>'DOE25'!G197+'DOE25'!G215+'DOE25'!G233+'DOE25'!G276+'DOE25'!G295+'DOE25'!G314</f>
        <v>906585.1</v>
      </c>
    </row>
    <row r="10" spans="1:3" x14ac:dyDescent="0.2">
      <c r="A10" t="s">
        <v>779</v>
      </c>
      <c r="B10" s="240">
        <f>746617.34+444603.02+663067.43+67570-3426</f>
        <v>1918431.79</v>
      </c>
      <c r="C10" s="240">
        <f>191532.32+4618.26+872.85+340.2+55019.44+106569.42+2474.74+918.58+110015.37+3040.28+447.95+186.3+33264.49+64189.74+1473.68+547.01+155937.69+6094.23+904.28+283.5+51254.26+107.71+92513.84+2197.81+815.79+6567.12+366.03+4949.39+9082.82-4200.77-262.09</f>
        <v>902122.24000000011</v>
      </c>
    </row>
    <row r="11" spans="1:3" x14ac:dyDescent="0.2">
      <c r="A11" t="s">
        <v>780</v>
      </c>
      <c r="B11" s="240">
        <v>3426</v>
      </c>
      <c r="C11" s="240">
        <v>262.08999999999997</v>
      </c>
    </row>
    <row r="12" spans="1:3" x14ac:dyDescent="0.2">
      <c r="A12" t="s">
        <v>781</v>
      </c>
      <c r="B12" s="240">
        <f>22328.65+10285+22298.35</f>
        <v>54912</v>
      </c>
      <c r="C12" s="240">
        <v>4200.7700000000004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1976769.79</v>
      </c>
      <c r="C13" s="231">
        <f>SUM(C10:C12)</f>
        <v>906585.10000000009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453834.2</v>
      </c>
      <c r="C18" s="229">
        <f>'DOE25'!G198+'DOE25'!G216+'DOE25'!G234+'DOE25'!G277+'DOE25'!G296+'DOE25'!G315</f>
        <v>220854.91</v>
      </c>
    </row>
    <row r="19" spans="1:3" x14ac:dyDescent="0.2">
      <c r="A19" t="s">
        <v>779</v>
      </c>
      <c r="B19" s="240">
        <f>181072.2+85402.52+128654.23+1865+1461.25+1810+2000-134903</f>
        <v>267362.2</v>
      </c>
      <c r="C19" s="240">
        <f>63163.94+2563.77+187.21+12787.92+5762.54+18050.22+600.18+222.78+39829.5+732.06+119.6+5934.81+2887.57+8235.77+283.08+105.07+22797.12+1357.98+156+10259.73+4063.42+12824.42+426.44+158.29+136.35+187.62+6.18+2.29+111.19+89.25+14.16+4.84+1.8+138.47+176.1+24.78+6+2.23+136.12+64.62+198.24-10320-14529-895.82-62370</f>
        <v>126694.84000000003</v>
      </c>
    </row>
    <row r="20" spans="1:3" x14ac:dyDescent="0.2">
      <c r="A20" t="s">
        <v>780</v>
      </c>
      <c r="B20" s="240">
        <f>330+12616+14400+12513+134903</f>
        <v>174762</v>
      </c>
      <c r="C20" s="240">
        <f>25.25+965+1399+1102+1597+957+10320+14529+62370</f>
        <v>93264.25</v>
      </c>
    </row>
    <row r="21" spans="1:3" x14ac:dyDescent="0.2">
      <c r="A21" t="s">
        <v>781</v>
      </c>
      <c r="B21" s="240">
        <f>4845+2000+4865</f>
        <v>11710</v>
      </c>
      <c r="C21" s="240">
        <v>895.82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453834.2</v>
      </c>
      <c r="C22" s="231">
        <f>SUM(C19:C21)</f>
        <v>220854.91000000003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68856.239999999991</v>
      </c>
      <c r="C36" s="235">
        <f>'DOE25'!G200+'DOE25'!G218+'DOE25'!G236+'DOE25'!G279+'DOE25'!G298+'DOE25'!G317</f>
        <v>11313.830000000002</v>
      </c>
    </row>
    <row r="37" spans="1:3" x14ac:dyDescent="0.2">
      <c r="A37" t="s">
        <v>779</v>
      </c>
      <c r="B37" s="240">
        <f>11711+3200+3000</f>
        <v>17911</v>
      </c>
      <c r="C37" s="240">
        <f>875.65+136.25+1214.22+237.58+453.12+224.55+424.8</f>
        <v>3566.17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839+11144+38962.24</f>
        <v>50945.24</v>
      </c>
      <c r="C39" s="240">
        <f>59.69+118.8+1.03+871.75+712.42+39.72+13.71+2951.25+250.55+2481.66+129.14+47.94+70</f>
        <v>7747.66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68856.239999999991</v>
      </c>
      <c r="C40" s="231">
        <f>SUM(C37:C39)</f>
        <v>11313.83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Lincoln-Woodstock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4101029.49</v>
      </c>
      <c r="D5" s="20">
        <f>SUM('DOE25'!L197:L200)+SUM('DOE25'!L215:L218)+SUM('DOE25'!L233:L236)-F5-G5</f>
        <v>4049242.0900000003</v>
      </c>
      <c r="E5" s="243"/>
      <c r="F5" s="255">
        <f>SUM('DOE25'!J197:J200)+SUM('DOE25'!J215:J218)+SUM('DOE25'!J233:J236)</f>
        <v>38407.35</v>
      </c>
      <c r="G5" s="53">
        <f>SUM('DOE25'!K197:K200)+SUM('DOE25'!K215:K218)+SUM('DOE25'!K233:K236)</f>
        <v>13380.05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476290.91999999993</v>
      </c>
      <c r="D6" s="20">
        <f>'DOE25'!L202+'DOE25'!L220+'DOE25'!L238-F6-G6</f>
        <v>475106.91999999993</v>
      </c>
      <c r="E6" s="243"/>
      <c r="F6" s="255">
        <f>'DOE25'!J202+'DOE25'!J220+'DOE25'!J238</f>
        <v>0</v>
      </c>
      <c r="G6" s="53">
        <f>'DOE25'!K202+'DOE25'!K220+'DOE25'!K238</f>
        <v>1184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193834.51</v>
      </c>
      <c r="D7" s="20">
        <f>'DOE25'!L203+'DOE25'!L221+'DOE25'!L239-F7-G7</f>
        <v>193436.73</v>
      </c>
      <c r="E7" s="243"/>
      <c r="F7" s="255">
        <f>'DOE25'!J203+'DOE25'!J221+'DOE25'!J239</f>
        <v>296.55</v>
      </c>
      <c r="G7" s="53">
        <f>'DOE25'!K203+'DOE25'!K221+'DOE25'!K239</f>
        <v>101.23</v>
      </c>
      <c r="H7" s="259"/>
    </row>
    <row r="8" spans="1:9" x14ac:dyDescent="0.2">
      <c r="A8" s="32">
        <v>2300</v>
      </c>
      <c r="B8" t="s">
        <v>802</v>
      </c>
      <c r="C8" s="245">
        <f t="shared" si="0"/>
        <v>336037.3</v>
      </c>
      <c r="D8" s="243"/>
      <c r="E8" s="20">
        <f>'DOE25'!L204+'DOE25'!L222+'DOE25'!L240-F8-G8-D9-D11</f>
        <v>328915.61</v>
      </c>
      <c r="F8" s="255">
        <f>'DOE25'!J204+'DOE25'!J222+'DOE25'!J240</f>
        <v>0</v>
      </c>
      <c r="G8" s="53">
        <f>'DOE25'!K204+'DOE25'!K222+'DOE25'!K240</f>
        <v>7121.6900000000005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15374.52</v>
      </c>
      <c r="D9" s="244">
        <f>14477.42+897.1</f>
        <v>15374.52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6556</v>
      </c>
      <c r="D10" s="243"/>
      <c r="E10" s="244">
        <v>6556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157155.55000000002</v>
      </c>
      <c r="D11" s="244">
        <f>115418.32+41737.23</f>
        <v>157155.55000000002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354529.93000000005</v>
      </c>
      <c r="D12" s="20">
        <f>'DOE25'!L205+'DOE25'!L223+'DOE25'!L241-F12-G12</f>
        <v>343364.14000000007</v>
      </c>
      <c r="E12" s="243"/>
      <c r="F12" s="255">
        <f>'DOE25'!J205+'DOE25'!J223+'DOE25'!J241</f>
        <v>5479.91</v>
      </c>
      <c r="G12" s="53">
        <f>'DOE25'!K205+'DOE25'!K223+'DOE25'!K241</f>
        <v>5685.88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453191.11</v>
      </c>
      <c r="D14" s="20">
        <f>'DOE25'!L207+'DOE25'!L225+'DOE25'!L243-F14-G14</f>
        <v>435058.94999999995</v>
      </c>
      <c r="E14" s="243"/>
      <c r="F14" s="255">
        <f>'DOE25'!J207+'DOE25'!J225+'DOE25'!J243</f>
        <v>2441.1400000000003</v>
      </c>
      <c r="G14" s="53">
        <f>'DOE25'!K207+'DOE25'!K225+'DOE25'!K243</f>
        <v>15691.02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193406.17</v>
      </c>
      <c r="D15" s="20">
        <f>'DOE25'!L208+'DOE25'!L226+'DOE25'!L244-F15-G15</f>
        <v>183880.15000000002</v>
      </c>
      <c r="E15" s="243"/>
      <c r="F15" s="255">
        <f>'DOE25'!J208+'DOE25'!J226+'DOE25'!J244</f>
        <v>9526.02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1028</v>
      </c>
      <c r="D16" s="243"/>
      <c r="E16" s="20">
        <f>'DOE25'!L209+'DOE25'!L227+'DOE25'!L245-F16-G16</f>
        <v>1028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74228.400000000009</v>
      </c>
      <c r="D25" s="243"/>
      <c r="E25" s="243"/>
      <c r="F25" s="258"/>
      <c r="G25" s="256"/>
      <c r="H25" s="257">
        <f>'DOE25'!L260+'DOE25'!L261+'DOE25'!L341+'DOE25'!L342</f>
        <v>74228.400000000009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169386.61</v>
      </c>
      <c r="D29" s="20">
        <f>'DOE25'!L358+'DOE25'!L359+'DOE25'!L360-'DOE25'!I367-F29-G29</f>
        <v>175885.88999999998</v>
      </c>
      <c r="E29" s="243"/>
      <c r="F29" s="255">
        <f>'DOE25'!J358+'DOE25'!J359+'DOE25'!J360</f>
        <v>0</v>
      </c>
      <c r="G29" s="53">
        <f>'DOE25'!K358+'DOE25'!K359+'DOE25'!K360</f>
        <v>-6499.28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208096.65</v>
      </c>
      <c r="D31" s="20">
        <f>'DOE25'!L290+'DOE25'!L309+'DOE25'!L328+'DOE25'!L333+'DOE25'!L334+'DOE25'!L335-F31-G31</f>
        <v>197960.25</v>
      </c>
      <c r="E31" s="243"/>
      <c r="F31" s="255">
        <f>'DOE25'!J290+'DOE25'!J309+'DOE25'!J328+'DOE25'!J333+'DOE25'!J334+'DOE25'!J335</f>
        <v>6740</v>
      </c>
      <c r="G31" s="53">
        <f>'DOE25'!K290+'DOE25'!K309+'DOE25'!K328+'DOE25'!K333+'DOE25'!K334+'DOE25'!K335</f>
        <v>3396.4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6226465.1899999995</v>
      </c>
      <c r="E33" s="246">
        <f>SUM(E5:E31)</f>
        <v>336499.61</v>
      </c>
      <c r="F33" s="246">
        <f>SUM(F5:F31)</f>
        <v>62890.97</v>
      </c>
      <c r="G33" s="246">
        <f>SUM(G5:G31)</f>
        <v>40060.990000000005</v>
      </c>
      <c r="H33" s="246">
        <f>SUM(H5:H31)</f>
        <v>74228.400000000009</v>
      </c>
    </row>
    <row r="35" spans="2:8" ht="12" thickBot="1" x14ac:dyDescent="0.25">
      <c r="B35" s="253" t="s">
        <v>847</v>
      </c>
      <c r="D35" s="254">
        <f>E33</f>
        <v>336499.61</v>
      </c>
      <c r="E35" s="249"/>
    </row>
    <row r="36" spans="2:8" ht="12" thickTop="1" x14ac:dyDescent="0.2">
      <c r="B36" t="s">
        <v>815</v>
      </c>
      <c r="D36" s="20">
        <f>D33</f>
        <v>6226465.1899999995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930203.49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237325.6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389758.45</v>
      </c>
      <c r="D11" s="95">
        <f>'DOE25'!G12</f>
        <v>0</v>
      </c>
      <c r="E11" s="95">
        <f>'DOE25'!H12</f>
        <v>54100.160000000003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15041.49</v>
      </c>
      <c r="E12" s="95">
        <f>'DOE25'!H13</f>
        <v>89989.440000000002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25166.83</v>
      </c>
      <c r="D13" s="95">
        <f>'DOE25'!G14</f>
        <v>3497.75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1345128.77</v>
      </c>
      <c r="D18" s="41">
        <f>SUM(D8:D17)</f>
        <v>18539.239999999998</v>
      </c>
      <c r="E18" s="41">
        <f>SUM(E8:E17)</f>
        <v>144089.60000000001</v>
      </c>
      <c r="F18" s="41">
        <f>SUM(F8:F17)</f>
        <v>0</v>
      </c>
      <c r="G18" s="41">
        <f>SUM(G8:G17)</f>
        <v>237325.6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360082.76</v>
      </c>
      <c r="D21" s="95">
        <f>'DOE25'!G22</f>
        <v>9495.57</v>
      </c>
      <c r="E21" s="95">
        <f>'DOE25'!H22</f>
        <v>168325.37</v>
      </c>
      <c r="F21" s="95">
        <f>'DOE25'!I22</f>
        <v>4500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104378.36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289587.5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256.61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754405.23</v>
      </c>
      <c r="D31" s="41">
        <f>SUM(D21:D30)</f>
        <v>9495.57</v>
      </c>
      <c r="E31" s="41">
        <f>SUM(E21:E30)</f>
        <v>168325.37</v>
      </c>
      <c r="F31" s="41">
        <f>SUM(F21:F30)</f>
        <v>4500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9043.67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-53893.01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237325.6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15760.79</v>
      </c>
      <c r="D48" s="95">
        <f>'DOE25'!G49</f>
        <v>0</v>
      </c>
      <c r="E48" s="95">
        <f>'DOE25'!H49</f>
        <v>29657.24</v>
      </c>
      <c r="F48" s="95">
        <f>'DOE25'!I49</f>
        <v>-4500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324962.75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590723.54</v>
      </c>
      <c r="D50" s="41">
        <f>SUM(D34:D49)</f>
        <v>9043.67</v>
      </c>
      <c r="E50" s="41">
        <f>SUM(E34:E49)</f>
        <v>-24235.77</v>
      </c>
      <c r="F50" s="41">
        <f>SUM(F34:F49)</f>
        <v>-4500</v>
      </c>
      <c r="G50" s="41">
        <f>SUM(G34:G49)</f>
        <v>237325.6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1345128.77</v>
      </c>
      <c r="D51" s="41">
        <f>D50+D31</f>
        <v>18539.239999999998</v>
      </c>
      <c r="E51" s="41">
        <f>E50+E31</f>
        <v>144089.60000000001</v>
      </c>
      <c r="F51" s="41">
        <f>F50+F31</f>
        <v>0</v>
      </c>
      <c r="G51" s="41">
        <f>G50+G31</f>
        <v>237325.6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3399518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5200.0600000000004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59219.78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15199.890000000001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20410.030000000002</v>
      </c>
      <c r="D62" s="130">
        <f>SUM(D57:D61)</f>
        <v>59219.78</v>
      </c>
      <c r="E62" s="130">
        <f>SUM(E57:E61)</f>
        <v>0</v>
      </c>
      <c r="F62" s="130">
        <f>SUM(F57:F61)</f>
        <v>0</v>
      </c>
      <c r="G62" s="130">
        <f>SUM(G57:G61)</f>
        <v>26.69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3419928.03</v>
      </c>
      <c r="D63" s="22">
        <f>D56+D62</f>
        <v>59219.78</v>
      </c>
      <c r="E63" s="22">
        <f>E56+E62</f>
        <v>0</v>
      </c>
      <c r="F63" s="22">
        <f>F56+F62</f>
        <v>0</v>
      </c>
      <c r="G63" s="22">
        <f>G56+G62</f>
        <v>26.69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230501.86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2524907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2755408.86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122872.06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8444.7999999999993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1831.5</v>
      </c>
      <c r="E77" s="95">
        <f>SUM('DOE25'!H131:H135)</f>
        <v>266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131316.85999999999</v>
      </c>
      <c r="D78" s="130">
        <f>SUM(D72:D77)</f>
        <v>1831.5</v>
      </c>
      <c r="E78" s="130">
        <f>SUM(E72:E77)</f>
        <v>266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2886725.7199999997</v>
      </c>
      <c r="D81" s="130">
        <f>SUM(D79:D80)+D78+D70</f>
        <v>1831.5</v>
      </c>
      <c r="E81" s="130">
        <f>SUM(E79:E80)+E78+E70</f>
        <v>266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6499.28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96558.01</v>
      </c>
      <c r="D88" s="95">
        <f>SUM('DOE25'!G153:G161)</f>
        <v>91943.680000000008</v>
      </c>
      <c r="E88" s="95">
        <f>SUM('DOE25'!H153:H161)</f>
        <v>203545.78999999998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61489.58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158047.59</v>
      </c>
      <c r="D91" s="131">
        <f>SUM(D85:D90)</f>
        <v>91943.680000000008</v>
      </c>
      <c r="E91" s="131">
        <f>SUM(E85:E90)</f>
        <v>210045.06999999998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16391.650000000001</v>
      </c>
      <c r="E96" s="95">
        <f>'DOE25'!H179</f>
        <v>0</v>
      </c>
      <c r="F96" s="95">
        <f>'DOE25'!I179</f>
        <v>0</v>
      </c>
      <c r="G96" s="95">
        <f>'DOE25'!J179</f>
        <v>161820</v>
      </c>
    </row>
    <row r="97" spans="1:7" x14ac:dyDescent="0.2">
      <c r="A97" t="s">
        <v>758</v>
      </c>
      <c r="B97" s="32" t="s">
        <v>188</v>
      </c>
      <c r="C97" s="95">
        <f>SUM('DOE25'!F180:F181)</f>
        <v>2476.88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2476.88</v>
      </c>
      <c r="D103" s="86">
        <f>SUM(D93:D102)</f>
        <v>16391.650000000001</v>
      </c>
      <c r="E103" s="86">
        <f>SUM(E93:E102)</f>
        <v>0</v>
      </c>
      <c r="F103" s="86">
        <f>SUM(F93:F102)</f>
        <v>0</v>
      </c>
      <c r="G103" s="86">
        <f>SUM(G93:G102)</f>
        <v>161820</v>
      </c>
    </row>
    <row r="104" spans="1:7" ht="12.75" thickTop="1" thickBot="1" x14ac:dyDescent="0.25">
      <c r="A104" s="33" t="s">
        <v>765</v>
      </c>
      <c r="C104" s="86">
        <f>C63+C81+C91+C103</f>
        <v>6467178.2199999997</v>
      </c>
      <c r="D104" s="86">
        <f>D63+D81+D91+D103</f>
        <v>169386.61000000002</v>
      </c>
      <c r="E104" s="86">
        <f>E63+E81+E91+E103</f>
        <v>210311.06999999998</v>
      </c>
      <c r="F104" s="86">
        <f>F63+F81+F91+F103</f>
        <v>0</v>
      </c>
      <c r="G104" s="86">
        <f>G63+G81+G103</f>
        <v>161846.69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2968524.1100000003</v>
      </c>
      <c r="D109" s="24" t="s">
        <v>289</v>
      </c>
      <c r="E109" s="95">
        <f>('DOE25'!L276)+('DOE25'!L295)+('DOE25'!L314)</f>
        <v>111770.01999999999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992905.35</v>
      </c>
      <c r="D110" s="24" t="s">
        <v>289</v>
      </c>
      <c r="E110" s="95">
        <f>('DOE25'!L277)+('DOE25'!L296)+('DOE25'!L315)</f>
        <v>66200.990000000005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20543.099999999999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119056.93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4101029.4900000007</v>
      </c>
      <c r="D115" s="86">
        <f>SUM(D109:D114)</f>
        <v>0</v>
      </c>
      <c r="E115" s="86">
        <f>SUM(E109:E114)</f>
        <v>177971.01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476290.91999999993</v>
      </c>
      <c r="D118" s="24" t="s">
        <v>289</v>
      </c>
      <c r="E118" s="95">
        <f>+('DOE25'!L281)+('DOE25'!L300)+('DOE25'!L319)</f>
        <v>4935.0200000000004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193834.51</v>
      </c>
      <c r="D119" s="24" t="s">
        <v>289</v>
      </c>
      <c r="E119" s="95">
        <f>+('DOE25'!L282)+('DOE25'!L301)+('DOE25'!L320)</f>
        <v>25190.620000000003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508567.37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354529.93000000005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453191.11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193406.17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1028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169386.61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2180848.0099999998</v>
      </c>
      <c r="D128" s="86">
        <f>SUM(D118:D127)</f>
        <v>169386.61</v>
      </c>
      <c r="E128" s="86">
        <f>SUM(E118:E127)</f>
        <v>30125.640000000003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71925.570000000007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2302.83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2476.88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16391.650000000001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161846.69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-26.690000000002328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55590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308030.05000000005</v>
      </c>
      <c r="D144" s="141">
        <f>SUM(D130:D143)</f>
        <v>0</v>
      </c>
      <c r="E144" s="141">
        <f>SUM(E130:E143)</f>
        <v>2476.88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6589907.5499999998</v>
      </c>
      <c r="D145" s="86">
        <f>(D115+D128+D144)</f>
        <v>169386.61</v>
      </c>
      <c r="E145" s="86">
        <f>(E115+E128+E144)</f>
        <v>210573.53000000003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1.78E-2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145165.43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145165.43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71930.739999999991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71930.739999999991</v>
      </c>
    </row>
    <row r="159" spans="1:9" x14ac:dyDescent="0.2">
      <c r="A159" s="22" t="s">
        <v>35</v>
      </c>
      <c r="B159" s="137">
        <f>'DOE25'!F498</f>
        <v>73234.69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73234.69</v>
      </c>
    </row>
    <row r="160" spans="1:9" x14ac:dyDescent="0.2">
      <c r="A160" s="22" t="s">
        <v>36</v>
      </c>
      <c r="B160" s="137">
        <f>'DOE25'!F499</f>
        <v>993.65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993.65</v>
      </c>
    </row>
    <row r="161" spans="1:7" x14ac:dyDescent="0.2">
      <c r="A161" s="22" t="s">
        <v>37</v>
      </c>
      <c r="B161" s="137">
        <f>'DOE25'!F500</f>
        <v>74228.34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74228.34</v>
      </c>
    </row>
    <row r="162" spans="1:7" x14ac:dyDescent="0.2">
      <c r="A162" s="22" t="s">
        <v>38</v>
      </c>
      <c r="B162" s="137">
        <f>'DOE25'!F501</f>
        <v>73234.69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73234.69</v>
      </c>
    </row>
    <row r="163" spans="1:7" x14ac:dyDescent="0.2">
      <c r="A163" s="22" t="s">
        <v>39</v>
      </c>
      <c r="B163" s="137">
        <f>'DOE25'!F502</f>
        <v>993.65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993.65</v>
      </c>
    </row>
    <row r="164" spans="1:7" x14ac:dyDescent="0.2">
      <c r="A164" s="22" t="s">
        <v>246</v>
      </c>
      <c r="B164" s="137">
        <f>'DOE25'!F503</f>
        <v>74228.34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74228.34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Lincoln-Woodstock Cooperative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17300</v>
      </c>
    </row>
    <row r="5" spans="1:4" x14ac:dyDescent="0.2">
      <c r="B5" t="s">
        <v>704</v>
      </c>
      <c r="C5" s="179">
        <f>IF('DOE25'!G665+'DOE25'!G670=0,0,ROUND('DOE25'!G672,0))</f>
        <v>17729</v>
      </c>
    </row>
    <row r="6" spans="1:4" x14ac:dyDescent="0.2">
      <c r="B6" t="s">
        <v>62</v>
      </c>
      <c r="C6" s="179">
        <f>IF('DOE25'!H665+'DOE25'!H670=0,0,ROUND('DOE25'!H672,0))</f>
        <v>20187</v>
      </c>
    </row>
    <row r="7" spans="1:4" x14ac:dyDescent="0.2">
      <c r="B7" t="s">
        <v>705</v>
      </c>
      <c r="C7" s="179">
        <f>IF('DOE25'!I665+'DOE25'!I670=0,0,ROUND('DOE25'!I672,0))</f>
        <v>18331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3080294</v>
      </c>
      <c r="D10" s="182">
        <f>ROUND((C10/$C$28)*100,1)</f>
        <v>46.3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1059106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20543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119057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481226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219025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509595</v>
      </c>
      <c r="D17" s="182">
        <f t="shared" si="0"/>
        <v>7.7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354530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453191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193406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2303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55590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110167.22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6658033.2199999997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6658033.2199999997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71926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3399518</v>
      </c>
      <c r="D35" s="182">
        <f t="shared" ref="D35:D40" si="1">ROUND((C35/$C$41)*100,1)</f>
        <v>50.2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20436.720000000205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2755409</v>
      </c>
      <c r="D37" s="182">
        <f t="shared" si="1"/>
        <v>40.700000000000003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133414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460036</v>
      </c>
      <c r="D39" s="182">
        <f t="shared" si="1"/>
        <v>6.8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6768813.7200000007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Lincoln-Woodstock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4</v>
      </c>
      <c r="B4" s="219">
        <v>18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2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2014-09-05T16:56:22Z</cp:lastPrinted>
  <dcterms:created xsi:type="dcterms:W3CDTF">1997-12-04T19:04:30Z</dcterms:created>
  <dcterms:modified xsi:type="dcterms:W3CDTF">2014-12-05T16:24:26Z</dcterms:modified>
</cp:coreProperties>
</file>