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" i="10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L290" i="1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A22" i="12" s="1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H94" i="1"/>
  <c r="H111" i="1"/>
  <c r="I111" i="1"/>
  <c r="I112" i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9" i="10"/>
  <c r="L250" i="1"/>
  <c r="L332" i="1"/>
  <c r="L254" i="1"/>
  <c r="L268" i="1"/>
  <c r="L269" i="1"/>
  <c r="L349" i="1"/>
  <c r="L350" i="1"/>
  <c r="I665" i="1"/>
  <c r="I670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/>
  <c r="L532" i="1"/>
  <c r="H550" i="1" s="1"/>
  <c r="H552" i="1" s="1"/>
  <c r="L533" i="1"/>
  <c r="H551" i="1"/>
  <c r="L536" i="1"/>
  <c r="I549" i="1" s="1"/>
  <c r="I552" i="1" s="1"/>
  <c r="L537" i="1"/>
  <c r="I550" i="1"/>
  <c r="L538" i="1"/>
  <c r="I551" i="1" s="1"/>
  <c r="L541" i="1"/>
  <c r="J549" i="1" s="1"/>
  <c r="L542" i="1"/>
  <c r="J550" i="1" s="1"/>
  <c r="L543" i="1"/>
  <c r="J551" i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/>
  <c r="G17" i="2"/>
  <c r="C21" i="2"/>
  <c r="D21" i="2"/>
  <c r="E21" i="2"/>
  <c r="F21" i="2"/>
  <c r="I448" i="1"/>
  <c r="J22" i="1" s="1"/>
  <c r="C22" i="2"/>
  <c r="D22" i="2"/>
  <c r="E22" i="2"/>
  <c r="F22" i="2"/>
  <c r="I449" i="1"/>
  <c r="J23" i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 s="1"/>
  <c r="G42" i="2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/>
  <c r="F69" i="2"/>
  <c r="F70" i="2" s="1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1" i="2"/>
  <c r="C112" i="2"/>
  <c r="E112" i="2"/>
  <c r="C113" i="2"/>
  <c r="E113" i="2"/>
  <c r="C114" i="2"/>
  <c r="E114" i="2"/>
  <c r="D115" i="2"/>
  <c r="F115" i="2"/>
  <c r="G115" i="2"/>
  <c r="E118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F144" i="2" s="1"/>
  <c r="F145" i="2" s="1"/>
  <c r="D134" i="2"/>
  <c r="D144" i="2" s="1"/>
  <c r="E134" i="2"/>
  <c r="F134" i="2"/>
  <c r="K419" i="1"/>
  <c r="K427" i="1"/>
  <c r="K433" i="1"/>
  <c r="L263" i="1"/>
  <c r="C135" i="2"/>
  <c r="E135" i="2"/>
  <c r="L264" i="1"/>
  <c r="C136" i="2" s="1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164" i="2" s="1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/>
  <c r="H619" i="1" s="1"/>
  <c r="J619" i="1" s="1"/>
  <c r="I51" i="1"/>
  <c r="I52" i="1" s="1"/>
  <c r="H620" i="1" s="1"/>
  <c r="J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I328" i="1"/>
  <c r="F337" i="1"/>
  <c r="G337" i="1"/>
  <c r="H337" i="1"/>
  <c r="I337" i="1"/>
  <c r="J337" i="1"/>
  <c r="K337" i="1"/>
  <c r="K338" i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H460" i="1"/>
  <c r="I460" i="1"/>
  <c r="F461" i="1"/>
  <c r="H461" i="1"/>
  <c r="I461" i="1"/>
  <c r="H642" i="1" s="1"/>
  <c r="F470" i="1"/>
  <c r="G470" i="1"/>
  <c r="H470" i="1"/>
  <c r="H476" i="1" s="1"/>
  <c r="H624" i="1" s="1"/>
  <c r="J624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J644" i="1" s="1"/>
  <c r="G645" i="1"/>
  <c r="H647" i="1"/>
  <c r="G651" i="1"/>
  <c r="G652" i="1"/>
  <c r="H652" i="1"/>
  <c r="G653" i="1"/>
  <c r="H653" i="1"/>
  <c r="G654" i="1"/>
  <c r="H654" i="1"/>
  <c r="H655" i="1"/>
  <c r="J655" i="1" s="1"/>
  <c r="F192" i="1"/>
  <c r="L256" i="1"/>
  <c r="C26" i="10"/>
  <c r="L351" i="1"/>
  <c r="C70" i="2"/>
  <c r="D62" i="2"/>
  <c r="D63" i="2" s="1"/>
  <c r="D18" i="13"/>
  <c r="C18" i="13"/>
  <c r="D17" i="13"/>
  <c r="C17" i="13" s="1"/>
  <c r="C91" i="2"/>
  <c r="F78" i="2"/>
  <c r="D31" i="2"/>
  <c r="C78" i="2"/>
  <c r="D50" i="2"/>
  <c r="G157" i="2"/>
  <c r="F18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J257" i="1"/>
  <c r="J271" i="1" s="1"/>
  <c r="H112" i="1"/>
  <c r="J641" i="1"/>
  <c r="J639" i="1"/>
  <c r="L433" i="1"/>
  <c r="L419" i="1"/>
  <c r="I169" i="1"/>
  <c r="H169" i="1"/>
  <c r="J643" i="1"/>
  <c r="J476" i="1"/>
  <c r="H626" i="1" s="1"/>
  <c r="I476" i="1"/>
  <c r="H625" i="1" s="1"/>
  <c r="J625" i="1" s="1"/>
  <c r="G476" i="1"/>
  <c r="H623" i="1" s="1"/>
  <c r="J623" i="1" s="1"/>
  <c r="F169" i="1"/>
  <c r="J140" i="1"/>
  <c r="F571" i="1"/>
  <c r="G22" i="2"/>
  <c r="K545" i="1"/>
  <c r="C29" i="10"/>
  <c r="L401" i="1"/>
  <c r="C139" i="2" s="1"/>
  <c r="L393" i="1"/>
  <c r="F22" i="13"/>
  <c r="H571" i="1"/>
  <c r="L560" i="1"/>
  <c r="J545" i="1"/>
  <c r="G192" i="1"/>
  <c r="H192" i="1"/>
  <c r="C35" i="10"/>
  <c r="L309" i="1"/>
  <c r="E16" i="13"/>
  <c r="C16" i="13" s="1"/>
  <c r="L570" i="1"/>
  <c r="L571" i="1" s="1"/>
  <c r="I571" i="1"/>
  <c r="I545" i="1"/>
  <c r="L565" i="1"/>
  <c r="G545" i="1"/>
  <c r="C22" i="13"/>
  <c r="C13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L407" i="1"/>
  <c r="C140" i="2" s="1"/>
  <c r="I192" i="1"/>
  <c r="E91" i="2"/>
  <c r="J654" i="1"/>
  <c r="J653" i="1"/>
  <c r="J434" i="1"/>
  <c r="F434" i="1"/>
  <c r="K434" i="1"/>
  <c r="G134" i="2" s="1"/>
  <c r="G144" i="2" s="1"/>
  <c r="G145" i="2" s="1"/>
  <c r="F31" i="13"/>
  <c r="G169" i="1"/>
  <c r="G140" i="1"/>
  <c r="F140" i="1"/>
  <c r="G63" i="2"/>
  <c r="G104" i="2"/>
  <c r="F545" i="1"/>
  <c r="H434" i="1"/>
  <c r="D103" i="2"/>
  <c r="I140" i="1"/>
  <c r="I193" i="1"/>
  <c r="G630" i="1" s="1"/>
  <c r="J630" i="1" s="1"/>
  <c r="J652" i="1"/>
  <c r="G571" i="1"/>
  <c r="I434" i="1"/>
  <c r="G434" i="1"/>
  <c r="A13" i="12" l="1"/>
  <c r="L529" i="1"/>
  <c r="H545" i="1"/>
  <c r="J552" i="1"/>
  <c r="K598" i="1"/>
  <c r="G647" i="1" s="1"/>
  <c r="J647" i="1" s="1"/>
  <c r="I663" i="1"/>
  <c r="K551" i="1"/>
  <c r="L524" i="1"/>
  <c r="K500" i="1"/>
  <c r="J193" i="1"/>
  <c r="G631" i="1" s="1"/>
  <c r="J631" i="1" s="1"/>
  <c r="J645" i="1"/>
  <c r="J640" i="1"/>
  <c r="J642" i="1"/>
  <c r="L434" i="1"/>
  <c r="G638" i="1" s="1"/>
  <c r="J638" i="1" s="1"/>
  <c r="I369" i="1"/>
  <c r="H634" i="1" s="1"/>
  <c r="J634" i="1"/>
  <c r="D127" i="2"/>
  <c r="D128" i="2" s="1"/>
  <c r="L362" i="1"/>
  <c r="C27" i="10" s="1"/>
  <c r="G661" i="1"/>
  <c r="F661" i="1"/>
  <c r="D145" i="2"/>
  <c r="H661" i="1"/>
  <c r="E120" i="2"/>
  <c r="J338" i="1"/>
  <c r="J352" i="1" s="1"/>
  <c r="H338" i="1"/>
  <c r="H352" i="1" s="1"/>
  <c r="L328" i="1"/>
  <c r="D31" i="13" s="1"/>
  <c r="C31" i="13" s="1"/>
  <c r="F338" i="1"/>
  <c r="F352" i="1" s="1"/>
  <c r="E119" i="2"/>
  <c r="E128" i="2" s="1"/>
  <c r="C11" i="10"/>
  <c r="E115" i="2"/>
  <c r="I338" i="1"/>
  <c r="I352" i="1" s="1"/>
  <c r="J51" i="1"/>
  <c r="G36" i="2"/>
  <c r="G50" i="2" s="1"/>
  <c r="G51" i="2" s="1"/>
  <c r="G21" i="2"/>
  <c r="G31" i="2" s="1"/>
  <c r="J32" i="1"/>
  <c r="C141" i="2"/>
  <c r="F81" i="2"/>
  <c r="F104" i="2" s="1"/>
  <c r="G12" i="2"/>
  <c r="J19" i="1"/>
  <c r="G621" i="1" s="1"/>
  <c r="G18" i="2"/>
  <c r="G646" i="1"/>
  <c r="K550" i="1"/>
  <c r="F552" i="1"/>
  <c r="K549" i="1"/>
  <c r="G552" i="1"/>
  <c r="L408" i="1"/>
  <c r="J618" i="1"/>
  <c r="G112" i="1"/>
  <c r="C25" i="10"/>
  <c r="C121" i="2"/>
  <c r="J651" i="1"/>
  <c r="J622" i="1"/>
  <c r="A40" i="12"/>
  <c r="C18" i="2"/>
  <c r="H662" i="1"/>
  <c r="C81" i="2"/>
  <c r="D81" i="2"/>
  <c r="D104" i="2" s="1"/>
  <c r="J650" i="1"/>
  <c r="G33" i="13"/>
  <c r="C132" i="2"/>
  <c r="H25" i="13"/>
  <c r="C123" i="2"/>
  <c r="D7" i="13"/>
  <c r="C7" i="13" s="1"/>
  <c r="C119" i="2"/>
  <c r="L247" i="1"/>
  <c r="C111" i="2"/>
  <c r="F257" i="1"/>
  <c r="F271" i="1" s="1"/>
  <c r="C109" i="2"/>
  <c r="C124" i="2"/>
  <c r="G662" i="1"/>
  <c r="C21" i="10"/>
  <c r="I662" i="1"/>
  <c r="D12" i="13"/>
  <c r="C12" i="13" s="1"/>
  <c r="C18" i="10"/>
  <c r="K257" i="1"/>
  <c r="K271" i="1" s="1"/>
  <c r="I257" i="1"/>
  <c r="I271" i="1" s="1"/>
  <c r="C20" i="10"/>
  <c r="D14" i="13"/>
  <c r="C14" i="13" s="1"/>
  <c r="H257" i="1"/>
  <c r="H271" i="1" s="1"/>
  <c r="C16" i="10"/>
  <c r="C15" i="10"/>
  <c r="G257" i="1"/>
  <c r="G271" i="1" s="1"/>
  <c r="L229" i="1"/>
  <c r="G660" i="1" s="1"/>
  <c r="D5" i="13"/>
  <c r="C5" i="13" s="1"/>
  <c r="C17" i="10"/>
  <c r="D15" i="13"/>
  <c r="C15" i="13" s="1"/>
  <c r="G649" i="1"/>
  <c r="J649" i="1" s="1"/>
  <c r="E8" i="13"/>
  <c r="C120" i="2"/>
  <c r="D6" i="13"/>
  <c r="C6" i="13" s="1"/>
  <c r="C118" i="2"/>
  <c r="H648" i="1"/>
  <c r="J648" i="1" s="1"/>
  <c r="F33" i="13"/>
  <c r="L211" i="1"/>
  <c r="F660" i="1" s="1"/>
  <c r="E104" i="2"/>
  <c r="C39" i="10"/>
  <c r="H193" i="1"/>
  <c r="G629" i="1" s="1"/>
  <c r="J629" i="1" s="1"/>
  <c r="G193" i="1"/>
  <c r="G628" i="1" s="1"/>
  <c r="J628" i="1" s="1"/>
  <c r="C38" i="10"/>
  <c r="C62" i="2"/>
  <c r="C63" i="2" s="1"/>
  <c r="C104" i="2" s="1"/>
  <c r="F112" i="1"/>
  <c r="F193" i="1" s="1"/>
  <c r="G627" i="1" s="1"/>
  <c r="D51" i="2"/>
  <c r="C51" i="2"/>
  <c r="J617" i="1"/>
  <c r="D18" i="2"/>
  <c r="L545" i="1" l="1"/>
  <c r="K552" i="1"/>
  <c r="C144" i="2"/>
  <c r="G635" i="1"/>
  <c r="J635" i="1" s="1"/>
  <c r="I661" i="1"/>
  <c r="H660" i="1"/>
  <c r="H664" i="1" s="1"/>
  <c r="H672" i="1" s="1"/>
  <c r="C6" i="10" s="1"/>
  <c r="L338" i="1"/>
  <c r="L352" i="1" s="1"/>
  <c r="G633" i="1" s="1"/>
  <c r="J633" i="1" s="1"/>
  <c r="E145" i="2"/>
  <c r="G637" i="1"/>
  <c r="J637" i="1" s="1"/>
  <c r="H646" i="1"/>
  <c r="J646" i="1"/>
  <c r="J52" i="1"/>
  <c r="H621" i="1" s="1"/>
  <c r="J621" i="1" s="1"/>
  <c r="G626" i="1"/>
  <c r="J626" i="1" s="1"/>
  <c r="C25" i="13"/>
  <c r="H33" i="13"/>
  <c r="C115" i="2"/>
  <c r="G664" i="1"/>
  <c r="G667" i="1" s="1"/>
  <c r="C28" i="10"/>
  <c r="D16" i="10" s="1"/>
  <c r="C8" i="13"/>
  <c r="E33" i="13"/>
  <c r="D35" i="13" s="1"/>
  <c r="C128" i="2"/>
  <c r="D33" i="13"/>
  <c r="D36" i="13" s="1"/>
  <c r="L257" i="1"/>
  <c r="L271" i="1" s="1"/>
  <c r="G632" i="1" s="1"/>
  <c r="J632" i="1" s="1"/>
  <c r="F664" i="1"/>
  <c r="C36" i="10"/>
  <c r="C41" i="10" s="1"/>
  <c r="D40" i="10" s="1"/>
  <c r="J627" i="1"/>
  <c r="I660" i="1" l="1"/>
  <c r="I664" i="1" s="1"/>
  <c r="I667" i="1" s="1"/>
  <c r="H667" i="1"/>
  <c r="C145" i="2"/>
  <c r="G672" i="1"/>
  <c r="C5" i="10" s="1"/>
  <c r="D27" i="10"/>
  <c r="D18" i="10"/>
  <c r="D21" i="10"/>
  <c r="D26" i="10"/>
  <c r="D11" i="10"/>
  <c r="D25" i="10"/>
  <c r="D10" i="10"/>
  <c r="D24" i="10"/>
  <c r="D20" i="10"/>
  <c r="D23" i="10"/>
  <c r="D19" i="10"/>
  <c r="D12" i="10"/>
  <c r="D22" i="10"/>
  <c r="D13" i="10"/>
  <c r="D15" i="10"/>
  <c r="D17" i="10"/>
  <c r="C30" i="10"/>
  <c r="H656" i="1"/>
  <c r="F672" i="1"/>
  <c r="C4" i="10" s="1"/>
  <c r="F667" i="1"/>
  <c r="D38" i="10"/>
  <c r="D36" i="10"/>
  <c r="D39" i="10"/>
  <c r="D35" i="10"/>
  <c r="D37" i="10"/>
  <c r="I672" i="1" l="1"/>
  <c r="C7" i="10" s="1"/>
  <c r="D28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<sst xmlns="http://schemas.openxmlformats.org/spreadsheetml/2006/main" count="3954" uniqueCount="912">
  <si>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</si>
  <si>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</si>
  <si>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</si>
  <si>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</si>
  <si>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</si>
  <si>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</si>
  <si>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</si>
  <si>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</si>
  <si>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</si>
  <si>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</si>
  <si>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</si>
  <si>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</si>
  <si>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</si>
  <si>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</si>
  <si>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</si>
  <si>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</si>
  <si>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</si>
  <si>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</si>
  <si>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</si>
  <si>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</si>
  <si>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</si>
  <si>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</si>
  <si>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</si>
  <si>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</si>
  <si>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</si>
  <si>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</si>
  <si>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</si>
  <si>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</si>
  <si>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</si>
  <si>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</si>
  <si>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</si>
  <si>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</si>
  <si>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</si>
  <si>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</si>
  <si>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</si>
  <si>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</si>
  <si>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</si>
  <si>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</si>
  <si>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</si>
  <si>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</si>
  <si>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</si>
  <si>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</si>
  <si>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</si>
  <si>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</si>
  <si>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</si>
  <si>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</si>
  <si>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</si>
  <si>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</si>
  <si>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</si>
  <si>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</si>
  <si>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</si>
  <si>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</si>
  <si>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</si>
  <si>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</si>
  <si>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</si>
  <si>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</si>
  <si>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</si>
  <si>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</si>
  <si>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</si>
  <si>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</si>
  <si>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</si>
  <si>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</si>
  <si>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</si>
  <si>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</si>
  <si>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</si>
  <si>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</si>
  <si>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</si>
  <si>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</si>
  <si>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</si>
  <si>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</si>
  <si>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</si>
  <si>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</si>
  <si>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</si>
  <si>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</si>
  <si>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</si>
  <si>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</si>
  <si>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</si>
  <si>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</si>
  <si>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</si>
  <si>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</si>
  <si>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</si>
  <si>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</si>
  <si>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</si>
  <si>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</si>
  <si>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</si>
  <si>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</si>
  <si>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</si>
  <si>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</si>
  <si>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</si>
  <si>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</si>
  <si>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</si>
  <si>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</si>
  <si>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</si>
  <si>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</si>
  <si>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</si>
  <si>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</si>
  <si>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</si>
  <si>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</si>
  <si>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</si>
  <si>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</si>
  <si>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</si>
  <si>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</si>
  <si>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</si>
  <si>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</si>
  <si>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</si>
  <si>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</si>
  <si>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</si>
  <si>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</si>
  <si>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</si>
  <si>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</si>
  <si>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</si>
  <si>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</si>
  <si>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</si>
  <si>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</si>
  <si>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</si>
  <si>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</si>
  <si>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</si>
  <si>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</si>
  <si>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</si>
  <si>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</si>
  <si>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</si>
  <si>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</si>
  <si>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</si>
  <si>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</si>
  <si>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</si>
  <si>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</si>
  <si>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</si>
  <si>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</si>
  <si>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</si>
  <si>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</si>
  <si>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</si>
  <si>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</si>
  <si>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</si>
  <si>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</si>
  <si>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</si>
  <si>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</si>
  <si>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</si>
  <si>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</si>
  <si>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</si>
  <si>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</si>
  <si>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</si>
  <si>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</si>
  <si>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</si>
  <si>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</si>
  <si>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</si>
  <si>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</si>
  <si>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</si>
  <si>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</si>
  <si>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</si>
  <si>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</si>
  <si>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</si>
  <si>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</si>
  <si>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</si>
  <si>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</si>
  <si>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</si>
  <si>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</si>
  <si>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</si>
  <si>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</si>
  <si>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</si>
  <si>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</si>
  <si>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</si>
  <si>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</si>
  <si>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</si>
  <si>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</si>
  <si>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</si>
  <si>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</si>
  <si>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</si>
  <si>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</si>
  <si>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</si>
  <si>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</si>
  <si>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</si>
  <si>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</si>
  <si>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</si>
  <si>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</si>
  <si>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</si>
  <si>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</si>
  <si>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</si>
  <si>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</si>
  <si>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</si>
  <si>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</si>
  <si>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</si>
  <si>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</si>
  <si>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</si>
  <si>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</si>
  <si>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</si>
  <si>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</si>
  <si>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</si>
  <si>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</si>
  <si>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</si>
  <si>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</si>
  <si>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</si>
  <si>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</si>
  <si>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</si>
  <si>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</si>
  <si>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</si>
  <si>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</si>
  <si>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</si>
  <si>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</si>
  <si>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</si>
  <si>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</si>
  <si>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</si>
  <si>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</si>
  <si>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</si>
  <si>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</si>
  <si>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</si>
  <si>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</si>
  <si>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</si>
  <si>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</si>
  <si>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</si>
  <si>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</si>
  <si>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</si>
  <si>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</si>
  <si>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</si>
  <si>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</si>
  <si>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</si>
  <si>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</si>
  <si>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</si>
  <si>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</si>
  <si>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</si>
  <si>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</si>
  <si>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</si>
  <si>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</si>
  <si>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</si>
  <si>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</si>
  <si>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</si>
  <si>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</si>
  <si>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</si>
  <si>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</si>
  <si>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</si>
  <si>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</si>
  <si>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</si>
  <si>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</si>
  <si>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</si>
  <si>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</si>
  <si>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</si>
  <si>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</si>
  <si>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</si>
  <si>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</si>
  <si>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</si>
  <si>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</si>
  <si>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</si>
  <si>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</si>
  <si>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</si>
  <si>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</si>
  <si>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</si>
  <si>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</si>
  <si>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</si>
  <si>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</si>
  <si>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</si>
  <si>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</si>
  <si>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</si>
  <si>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</si>
  <si>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</si>
  <si>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</si>
  <si>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</si>
  <si>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</si>
  <si>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</si>
  <si>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</si>
  <si>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</si>
  <si>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</si>
  <si>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</si>
  <si>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</si>
  <si>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</si>
  <si>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</si>
  <si>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</si>
  <si>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</si>
  <si>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</si>
  <si>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</si>
  <si>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</si>
  <si>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</si>
  <si>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</si>
  <si>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</si>
  <si>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</si>
  <si>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</si>
  <si>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</si>
  <si>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</si>
  <si>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</si>
  <si>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</si>
  <si>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</si>
  <si>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</si>
  <si>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</si>
  <si>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</si>
  <si>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</si>
  <si>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</si>
  <si>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</si>
  <si>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</si>
  <si>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</si>
  <si>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</si>
  <si>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</si>
  <si>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</si>
  <si>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</si>
  <si>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</si>
  <si>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</si>
  <si>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</si>
  <si>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</si>
  <si>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</si>
  <si>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</si>
  <si>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</si>
  <si>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</si>
  <si>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</si>
  <si>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</si>
  <si>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</si>
  <si>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</si>
  <si>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</si>
  <si>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</si>
  <si>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</si>
  <si>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</si>
  <si>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</si>
  <si>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</si>
  <si>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</si>
  <si>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</si>
  <si>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</si>
  <si>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</si>
  <si>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</si>
  <si>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</si>
  <si>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</si>
  <si>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</si>
  <si>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</si>
  <si>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</si>
  <si>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</si>
  <si>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</si>
  <si>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</si>
  <si>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</si>
  <si>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</si>
  <si>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</si>
  <si>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</si>
  <si>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</si>
  <si>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</si>
  <si>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</si>
  <si>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</si>
  <si>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</si>
  <si>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</si>
  <si>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</si>
  <si>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</si>
  <si>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</si>
  <si>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</si>
  <si>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</si>
  <si>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</si>
  <si>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</si>
  <si>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</si>
  <si>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</si>
  <si>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</si>
  <si>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</si>
  <si>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</si>
  <si>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</si>
  <si>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</si>
  <si>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</si>
  <si>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</si>
  <si>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</si>
  <si>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</si>
  <si>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</si>
  <si>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</si>
  <si>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</si>
  <si>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</si>
  <si>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</si>
  <si>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</si>
  <si>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</si>
  <si>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</si>
  <si>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</si>
  <si>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</si>
  <si>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</si>
  <si>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</si>
  <si>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</si>
  <si>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</si>
  <si>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</si>
  <si>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</si>
  <si>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</si>
  <si>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</si>
  <si>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</si>
  <si>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</si>
  <si>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</si>
  <si>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</si>
  <si>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</si>
  <si>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</si>
  <si>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</si>
  <si>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</si>
  <si>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</si>
  <si>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</si>
  <si>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</si>
  <si>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</si>
  <si>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</si>
  <si>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</si>
  <si>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</si>
  <si>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</si>
  <si>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</si>
  <si>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</si>
  <si>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</si>
  <si>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</si>
  <si>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</si>
  <si>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</si>
  <si>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</si>
  <si>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</si>
  <si>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</si>
  <si>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</si>
  <si>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</si>
  <si>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</si>
  <si>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</si>
  <si>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</si>
  <si>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</si>
  <si>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</si>
  <si>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</si>
  <si>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</si>
  <si>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</si>
  <si>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</si>
  <si>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</si>
  <si>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</si>
  <si>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</si>
  <si>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</si>
  <si>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</si>
  <si>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</si>
  <si>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</si>
  <si>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</si>
  <si>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</si>
  <si>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</si>
  <si>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</si>
  <si>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</si>
  <si>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</si>
  <si>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</si>
  <si>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</si>
  <si>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</si>
  <si>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</si>
  <si>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</si>
  <si>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</si>
  <si>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</si>
  <si>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</si>
  <si>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</si>
  <si>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</si>
  <si>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</si>
  <si>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</si>
  <si>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</si>
  <si>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</si>
  <si>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</si>
  <si>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</si>
  <si>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</si>
  <si>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</si>
  <si>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</si>
  <si>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</si>
  <si>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</si>
  <si>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</si>
  <si>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</si>
  <si>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</si>
  <si>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</si>
  <si>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</si>
  <si>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</si>
  <si>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</si>
  <si>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</si>
  <si>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</si>
  <si>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</si>
  <si>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</si>
  <si>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</si>
  <si>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</si>
  <si>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</si>
  <si>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</si>
  <si>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</si>
  <si>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</si>
  <si>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</si>
  <si>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</si>
  <si>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</si>
  <si>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</si>
  <si>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</si>
  <si>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</si>
  <si>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</si>
  <si>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</si>
  <si>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</si>
  <si>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</si>
  <si>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</si>
  <si>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</si>
  <si>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</si>
  <si>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</si>
  <si>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</si>
  <si>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</si>
  <si>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</si>
  <si>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</si>
  <si>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</si>
  <si>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</si>
  <si>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</si>
  <si>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</si>
  <si>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</si>
  <si>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</si>
  <si>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</si>
  <si>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</si>
  <si>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</si>
  <si>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</si>
  <si>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</si>
  <si>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</si>
  <si>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</si>
  <si>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</si>
  <si>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</si>
  <si>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</si>
  <si>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</si>
  <si>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</si>
  <si>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</si>
  <si>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</si>
  <si>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</si>
  <si>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</si>
  <si>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</si>
  <si>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</si>
  <si>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</si>
  <si>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</si>
  <si>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</si>
  <si>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</si>
  <si>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</si>
  <si>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</si>
  <si>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</si>
  <si>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</si>
  <si>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</si>
  <si>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</si>
  <si>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</si>
  <si>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</si>
  <si>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</si>
  <si>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</si>
  <si>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</si>
  <si>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</si>
  <si>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</si>
  <si>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</si>
  <si>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</si>
  <si>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</si>
  <si>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</si>
  <si>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</si>
  <si>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</si>
  <si>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</si>
  <si>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</si>
  <si>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</si>
  <si>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</si>
  <si>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</si>
  <si>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</si>
  <si>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</si>
  <si>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</si>
  <si>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</si>
  <si>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</si>
  <si>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</si>
  <si>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</si>
  <si>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</si>
  <si>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</si>
  <si>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</si>
  <si>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</si>
  <si>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</si>
  <si>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</si>
  <si>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</si>
  <si>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</si>
  <si>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</si>
  <si>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</si>
  <si>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</si>
  <si>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</si>
  <si>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</si>
  <si>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</si>
  <si>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</si>
  <si>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</si>
  <si>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</si>
  <si>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</si>
  <si>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</si>
  <si>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</si>
  <si>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</si>
  <si>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</si>
  <si>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</si>
  <si>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</si>
  <si>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</si>
  <si>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</si>
  <si>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</si>
  <si>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</si>
  <si>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</si>
  <si>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</si>
  <si>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</si>
  <si>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</si>
  <si>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</si>
  <si>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</si>
  <si>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</si>
  <si>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</si>
  <si>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</si>
  <si>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</si>
  <si>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</si>
  <si>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</si>
  <si>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</si>
  <si>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</si>
  <si>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</si>
  <si>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</si>
  <si>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</si>
  <si>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</si>
  <si>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</si>
  <si>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</si>
  <si>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</si>
  <si>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</si>
  <si>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</si>
  <si>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</si>
  <si>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</si>
  <si>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</si>
  <si>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</si>
  <si>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</si>
  <si>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</si>
  <si>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</si>
  <si>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</si>
  <si>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</si>
  <si>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</si>
  <si>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</si>
  <si>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</si>
  <si>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</si>
  <si>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</si>
  <si>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</si>
  <si>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</si>
  <si>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</si>
  <si>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</si>
  <si>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</si>
  <si>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</si>
  <si>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</si>
  <si>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</si>
  <si>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</si>
  <si>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</si>
  <si>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</si>
  <si>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</si>
  <si>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</si>
  <si>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</si>
  <si>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</si>
  <si>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</si>
  <si>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</si>
  <si>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</si>
  <si>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</si>
  <si>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</si>
  <si>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</si>
  <si>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</si>
  <si>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</si>
  <si>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</si>
  <si>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</si>
  <si>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</si>
  <si>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</si>
  <si>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</si>
  <si>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</si>
  <si>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</si>
  <si>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</si>
  <si>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</si>
  <si>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</si>
  <si>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</si>
  <si>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</si>
  <si>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</si>
  <si>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</si>
  <si>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</si>
  <si>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</si>
  <si>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</si>
  <si>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</si>
  <si>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</si>
  <si>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</si>
  <si>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</si>
  <si>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</si>
  <si>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</si>
  <si>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</si>
  <si>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</si>
  <si>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</si>
  <si>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</si>
  <si>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</si>
  <si>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</si>
  <si>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</si>
  <si>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</si>
  <si>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</si>
  <si>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</si>
  <si>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</si>
  <si>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</si>
  <si>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</si>
  <si>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</si>
  <si>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</si>
  <si>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</si>
  <si>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</si>
  <si>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</si>
  <si>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</si>
  <si>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</si>
  <si>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</si>
  <si>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</si>
  <si>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</si>
  <si>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</si>
  <si>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</si>
  <si>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</si>
  <si>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</si>
  <si>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</si>
  <si>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</si>
  <si>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</si>
  <si>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</si>
  <si>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</si>
  <si>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</si>
  <si>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</si>
  <si>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</si>
  <si>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</si>
  <si>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</si>
  <si>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</si>
  <si>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</si>
  <si>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</si>
  <si>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</si>
  <si>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</si>
  <si>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</si>
  <si>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</si>
  <si>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</si>
  <si>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</si>
  <si>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</si>
  <si>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</si>
  <si>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</si>
  <si>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</si>
  <si>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</si>
  <si>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</si>
  <si>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</si>
  <si>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</si>
  <si>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</si>
  <si>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</si>
  <si>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</si>
  <si>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</si>
  <si>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</si>
  <si>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</si>
  <si>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</si>
  <si>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</si>
  <si>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</si>
  <si>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</si>
  <si>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</si>
  <si>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</si>
  <si>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</si>
  <si>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</si>
  <si>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</si>
  <si>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</si>
  <si>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</si>
  <si>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</si>
  <si>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</si>
  <si>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</si>
  <si>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</si>
  <si>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</si>
  <si>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</si>
  <si>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</si>
  <si>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</si>
  <si>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</si>
  <si>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</si>
  <si>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</si>
  <si>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</si>
  <si>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</si>
  <si>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</si>
  <si>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</si>
  <si>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</si>
  <si>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</si>
  <si>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</si>
  <si>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</si>
  <si>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</si>
  <si>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</si>
  <si>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</si>
  <si>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</si>
  <si>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</si>
  <si>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</si>
  <si>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</si>
  <si>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</si>
  <si>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</si>
  <si>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</si>
  <si>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</si>
  <si>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</si>
  <si>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</si>
  <si>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</si>
  <si>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</si>
  <si>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</si>
  <si>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</si>
  <si>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</si>
  <si>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</si>
  <si>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</si>
  <si>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</si>
  <si>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</si>
  <si>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</si>
  <si>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</si>
  <si>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</si>
  <si>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</si>
  <si>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</si>
  <si>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</si>
  <si>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</si>
  <si>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</si>
  <si>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</si>
  <si>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</si>
  <si>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</si>
  <si>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</si>
  <si>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</si>
  <si>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</si>
  <si>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</si>
  <si>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</si>
  <si>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</si>
  <si>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</si>
  <si>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</si>
  <si>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</si>
  <si>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</si>
  <si>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</si>
  <si>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</si>
  <si>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</si>
  <si>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</si>
  <si>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</si>
  <si>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</si>
  <si>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</si>
  <si>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</si>
  <si>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</si>
  <si>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</si>
  <si>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</si>
  <si>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</si>
  <si>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</si>
  <si>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</si>
  <si>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</si>
  <si>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</si>
  <si>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</si>
  <si>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</si>
  <si>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</si>
  <si>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</si>
  <si>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</si>
  <si>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</si>
  <si>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</si>
  <si>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</si>
  <si>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</si>
  <si>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</si>
  <si>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</si>
  <si>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</si>
  <si>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</si>
  <si>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</si>
  <si>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</si>
  <si>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</si>
  <si>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</si>
  <si>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</si>
  <si>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</si>
  <si>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</si>
  <si>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</si>
  <si>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</si>
  <si>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</si>
  <si>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</si>
  <si>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</si>
  <si>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</si>
  <si>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</si>
  <si>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</si>
  <si>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</si>
  <si>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</si>
  <si>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</si>
  <si>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</si>
  <si>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</si>
  <si>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</si>
  <si>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</si>
  <si>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</si>
  <si>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</si>
  <si>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</si>
  <si>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</si>
  <si>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</si>
  <si>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</si>
  <si>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</si>
  <si>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</si>
  <si>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</si>
  <si>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</si>
  <si>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</si>
  <si>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</si>
  <si>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</si>
  <si>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</si>
  <si>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</si>
  <si>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</si>
  <si>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</si>
  <si>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</si>
  <si>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</si>
  <si>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</si>
  <si>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</si>
  <si>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</si>
  <si>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</si>
  <si>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</si>
  <si>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</si>
  <si>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</si>
  <si>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</si>
  <si>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</si>
  <si>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</si>
  <si>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</si>
  <si>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</si>
  <si>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</si>
  <si>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</si>
  <si>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</si>
  <si>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</si>
  <si>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</si>
  <si>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</si>
  <si>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</si>
  <si>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</si>
  <si>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</si>
  <si>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</si>
  <si>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</si>
  <si>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</si>
  <si>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</si>
  <si>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</si>
  <si>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</si>
  <si>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</si>
  <si>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</si>
  <si>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</si>
  <si>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</si>
  <si>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</si>
  <si>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</si>
  <si>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</si>
  <si>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</si>
  <si>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</si>
  <si>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</si>
  <si>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</si>
  <si>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</si>
  <si>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</si>
  <si>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</si>
  <si>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</si>
  <si>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</si>
  <si>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</si>
  <si>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</si>
  <si>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</si>
  <si>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</si>
  <si>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</si>
  <si>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</si>
  <si>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</si>
  <si>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</si>
  <si>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</si>
  <si>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</si>
  <si>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</si>
  <si>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</si>
  <si>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</si>
  <si>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</si>
  <si>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</si>
  <si>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</si>
  <si>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</si>
  <si>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</si>
  <si>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</si>
  <si>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</si>
  <si>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</si>
  <si>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</si>
  <si>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LISBON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</si>
</sst>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zoomScaleNormal="75" workbookViewId="0">
      <pane xSplit="5" ySplit="3" topLeftCell="F62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306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102622.87</v>
      </c>
      <c r="G9" s="18">
        <v>-1854.1</v>
      </c>
      <c r="H9" s="18">
        <v>-79158.600000000006</v>
      </c>
      <c r="I9" s="18"/>
      <c r="J9" s="67">
        <f>SUM(I439)</f>
        <v>83036.3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2828.26</v>
      </c>
      <c r="H13" s="18">
        <v>79158.600000000006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52194.21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154817.07999999999</v>
      </c>
      <c r="G19" s="41">
        <f>SUM(G9:G18)</f>
        <v>974.16000000000031</v>
      </c>
      <c r="H19" s="41">
        <f>SUM(H9:H18)</f>
        <v>0</v>
      </c>
      <c r="I19" s="41">
        <f>SUM(I9:I18)</f>
        <v>0</v>
      </c>
      <c r="J19" s="41">
        <f>SUM(J9:J18)</f>
        <v>83036.3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50453.06</v>
      </c>
      <c r="G24" s="18">
        <v>800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50453.06</v>
      </c>
      <c r="G32" s="41">
        <f>SUM(G22:G31)</f>
        <v>800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174.16</v>
      </c>
      <c r="H48" s="18"/>
      <c r="I48" s="18"/>
      <c r="J48" s="13">
        <f>SUM(I459)</f>
        <v>83036.3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104364.02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104364.02</v>
      </c>
      <c r="G51" s="41">
        <f>SUM(G35:G50)</f>
        <v>174.16</v>
      </c>
      <c r="H51" s="41">
        <f>SUM(H35:H50)</f>
        <v>0</v>
      </c>
      <c r="I51" s="41">
        <f>SUM(I35:I50)</f>
        <v>0</v>
      </c>
      <c r="J51" s="41">
        <f>SUM(J35:J50)</f>
        <v>83036.3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154817.08000000002</v>
      </c>
      <c r="G52" s="41">
        <f>G51+G32</f>
        <v>974.16</v>
      </c>
      <c r="H52" s="41">
        <f>H51+H32</f>
        <v>0</v>
      </c>
      <c r="I52" s="41">
        <f>I51+I32</f>
        <v>0</v>
      </c>
      <c r="J52" s="41">
        <f>J51+J32</f>
        <v>83036.3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2077879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2077879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8835.65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708399.98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14137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731372.63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422.79</v>
      </c>
      <c r="G96" s="18"/>
      <c r="H96" s="18"/>
      <c r="I96" s="18"/>
      <c r="J96" s="18">
        <v>31.32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31777.91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19019.32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19442.11</v>
      </c>
      <c r="G111" s="41">
        <f>SUM(G96:G110)</f>
        <v>31777.91</v>
      </c>
      <c r="H111" s="41">
        <f>SUM(H96:H110)</f>
        <v>0</v>
      </c>
      <c r="I111" s="41">
        <f>SUM(I96:I110)</f>
        <v>0</v>
      </c>
      <c r="J111" s="41">
        <f>SUM(J96:J110)</f>
        <v>31.32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2828693.7399999998</v>
      </c>
      <c r="G112" s="41">
        <f>G60+G111</f>
        <v>31777.91</v>
      </c>
      <c r="H112" s="41">
        <f>H60+H79+H94+H111</f>
        <v>0</v>
      </c>
      <c r="I112" s="41">
        <f>I60+I111</f>
        <v>0</v>
      </c>
      <c r="J112" s="41">
        <f>J60+J111</f>
        <v>31.32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1984282.45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411019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2395301.4500000002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34861.230000000003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9548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7286.12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1814.29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44409.23</v>
      </c>
      <c r="G136" s="41">
        <f>SUM(G123:G135)</f>
        <v>1814.29</v>
      </c>
      <c r="H136" s="41">
        <f>SUM(H123:H135)</f>
        <v>7286.12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2439710.6800000002</v>
      </c>
      <c r="G140" s="41">
        <f>G121+SUM(G136:G137)</f>
        <v>1814.29</v>
      </c>
      <c r="H140" s="41">
        <f>H121+SUM(H136:H139)</f>
        <v>7286.12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>
        <v>15469.81</v>
      </c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15469.81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128129.41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29368.23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70352.83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101202.63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81134.67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81134.67</v>
      </c>
      <c r="G162" s="41">
        <f>SUM(G150:G161)</f>
        <v>70352.83</v>
      </c>
      <c r="H162" s="41">
        <f>SUM(H150:H161)</f>
        <v>258700.27000000002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879.65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82014.319999999992</v>
      </c>
      <c r="G169" s="41">
        <f>G147+G162+SUM(G163:G168)</f>
        <v>70352.83</v>
      </c>
      <c r="H169" s="41">
        <f>H147+H162+SUM(H163:H168)</f>
        <v>274170.08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45595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45595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45595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5396013.7400000002</v>
      </c>
      <c r="G193" s="47">
        <f>G112+G140+G169+G192</f>
        <v>103945.03</v>
      </c>
      <c r="H193" s="47">
        <f>H112+H140+H169+H192</f>
        <v>281456.2</v>
      </c>
      <c r="I193" s="47">
        <f>I112+I140+I169+I192</f>
        <v>0</v>
      </c>
      <c r="J193" s="47">
        <f>J112+J140+J192</f>
        <v>20031.32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711971.04</v>
      </c>
      <c r="G197" s="18">
        <v>327993.15999999997</v>
      </c>
      <c r="H197" s="18">
        <v>595</v>
      </c>
      <c r="I197" s="18">
        <v>9785.25</v>
      </c>
      <c r="J197" s="18">
        <v>1431.61</v>
      </c>
      <c r="K197" s="18"/>
      <c r="L197" s="19">
        <f>SUM(F197:K197)</f>
        <v>1051776.06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178336.29</v>
      </c>
      <c r="G198" s="18">
        <v>88521.7</v>
      </c>
      <c r="H198" s="18">
        <v>15415</v>
      </c>
      <c r="I198" s="18">
        <v>102.251</v>
      </c>
      <c r="J198" s="18">
        <v>39.99</v>
      </c>
      <c r="K198" s="18"/>
      <c r="L198" s="19">
        <f>SUM(F198:K198)</f>
        <v>282415.23099999997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43830.41</v>
      </c>
      <c r="G202" s="18">
        <v>20874.96</v>
      </c>
      <c r="H202" s="18">
        <v>44300.22</v>
      </c>
      <c r="I202" s="18">
        <v>1142.3900000000001</v>
      </c>
      <c r="J202" s="18">
        <v>303.60000000000002</v>
      </c>
      <c r="K202" s="18"/>
      <c r="L202" s="19">
        <f t="shared" ref="L202:L208" si="0">SUM(F202:K202)</f>
        <v>110451.58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22867.71</v>
      </c>
      <c r="G203" s="18">
        <v>2705.76</v>
      </c>
      <c r="H203" s="18">
        <v>1805</v>
      </c>
      <c r="I203" s="18">
        <v>437.19</v>
      </c>
      <c r="J203" s="18"/>
      <c r="K203" s="18">
        <v>5720.56</v>
      </c>
      <c r="L203" s="19">
        <f t="shared" si="0"/>
        <v>33536.22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4292</v>
      </c>
      <c r="G204" s="18">
        <v>328.36</v>
      </c>
      <c r="H204" s="18">
        <v>80880.34</v>
      </c>
      <c r="I204" s="18"/>
      <c r="J204" s="18"/>
      <c r="K204" s="18">
        <v>6526.65</v>
      </c>
      <c r="L204" s="19">
        <f t="shared" si="0"/>
        <v>92027.349999999991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83983.01</v>
      </c>
      <c r="G205" s="18">
        <v>38869.33</v>
      </c>
      <c r="H205" s="18">
        <v>7979.02</v>
      </c>
      <c r="I205" s="18">
        <v>4972.8100000000004</v>
      </c>
      <c r="J205" s="18">
        <v>193.05</v>
      </c>
      <c r="K205" s="18"/>
      <c r="L205" s="19">
        <f t="shared" si="0"/>
        <v>135997.22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36921.410000000003</v>
      </c>
      <c r="G207" s="18">
        <v>11599.93</v>
      </c>
      <c r="H207" s="18">
        <v>31022.66</v>
      </c>
      <c r="I207" s="18">
        <v>66257.460000000006</v>
      </c>
      <c r="J207" s="18">
        <v>8465.24</v>
      </c>
      <c r="K207" s="18"/>
      <c r="L207" s="19">
        <f t="shared" si="0"/>
        <v>154266.70000000001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2535</v>
      </c>
      <c r="G208" s="18">
        <v>453.35</v>
      </c>
      <c r="H208" s="18">
        <v>57769.81</v>
      </c>
      <c r="I208" s="18">
        <v>1289.56</v>
      </c>
      <c r="J208" s="18"/>
      <c r="K208" s="18"/>
      <c r="L208" s="19">
        <f t="shared" si="0"/>
        <v>62047.719999999994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v>1504.06</v>
      </c>
      <c r="J209" s="18"/>
      <c r="K209" s="18"/>
      <c r="L209" s="19">
        <f>SUM(F209:K209)</f>
        <v>1504.06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1084736.8700000001</v>
      </c>
      <c r="G211" s="41">
        <f t="shared" si="1"/>
        <v>491346.55</v>
      </c>
      <c r="H211" s="41">
        <f t="shared" si="1"/>
        <v>239767.05</v>
      </c>
      <c r="I211" s="41">
        <f t="shared" si="1"/>
        <v>85490.971000000005</v>
      </c>
      <c r="J211" s="41">
        <f t="shared" si="1"/>
        <v>10433.49</v>
      </c>
      <c r="K211" s="41">
        <f t="shared" si="1"/>
        <v>12247.21</v>
      </c>
      <c r="L211" s="41">
        <f t="shared" si="1"/>
        <v>1924022.1410000001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463510.92</v>
      </c>
      <c r="G215" s="18">
        <v>210971.01</v>
      </c>
      <c r="H215" s="18">
        <v>768</v>
      </c>
      <c r="I215" s="18">
        <v>4338.49</v>
      </c>
      <c r="J215" s="18">
        <v>1511.94</v>
      </c>
      <c r="K215" s="18"/>
      <c r="L215" s="19">
        <f>SUM(F215:K215)</f>
        <v>681100.35999999987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113846.51</v>
      </c>
      <c r="G216" s="18">
        <v>45461.58</v>
      </c>
      <c r="H216" s="18"/>
      <c r="I216" s="18">
        <v>51.8</v>
      </c>
      <c r="J216" s="18"/>
      <c r="K216" s="18"/>
      <c r="L216" s="19">
        <f>SUM(F216:K216)</f>
        <v>159359.88999999998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40304.050000000003</v>
      </c>
      <c r="G217" s="18">
        <v>11290.96</v>
      </c>
      <c r="H217" s="18"/>
      <c r="I217" s="18">
        <v>422.73</v>
      </c>
      <c r="J217" s="18"/>
      <c r="K217" s="18"/>
      <c r="L217" s="19">
        <f>SUM(F217:K217)</f>
        <v>52017.740000000005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24833</v>
      </c>
      <c r="G218" s="18">
        <v>5289.21</v>
      </c>
      <c r="H218" s="18">
        <v>5890</v>
      </c>
      <c r="I218" s="18">
        <v>3000</v>
      </c>
      <c r="J218" s="18">
        <v>875.08</v>
      </c>
      <c r="K218" s="18">
        <v>1217.4000000000001</v>
      </c>
      <c r="L218" s="19">
        <f>SUM(F218:K218)</f>
        <v>41104.69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36894.79</v>
      </c>
      <c r="G220" s="18">
        <v>11082.62</v>
      </c>
      <c r="H220" s="18">
        <v>35626.480000000003</v>
      </c>
      <c r="I220" s="18">
        <v>551.70000000000005</v>
      </c>
      <c r="J220" s="18">
        <v>224.6</v>
      </c>
      <c r="K220" s="18"/>
      <c r="L220" s="19">
        <f t="shared" ref="L220:L226" si="2">SUM(F220:K220)</f>
        <v>84380.190000000017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14672.35</v>
      </c>
      <c r="G221" s="18">
        <v>1706.61</v>
      </c>
      <c r="H221" s="18">
        <v>1804.99</v>
      </c>
      <c r="I221" s="18">
        <v>437.18</v>
      </c>
      <c r="J221" s="18"/>
      <c r="K221" s="18">
        <v>4987.55</v>
      </c>
      <c r="L221" s="19">
        <f t="shared" si="2"/>
        <v>23608.68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3016</v>
      </c>
      <c r="G222" s="18">
        <v>230.73</v>
      </c>
      <c r="H222" s="18">
        <v>56834.82</v>
      </c>
      <c r="I222" s="18"/>
      <c r="J222" s="18"/>
      <c r="K222" s="18">
        <v>4586.28</v>
      </c>
      <c r="L222" s="19">
        <f t="shared" si="2"/>
        <v>64667.83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56488.83</v>
      </c>
      <c r="G223" s="18">
        <v>25983.35</v>
      </c>
      <c r="H223" s="18">
        <v>7126.47</v>
      </c>
      <c r="I223" s="18">
        <v>4547.49</v>
      </c>
      <c r="J223" s="18">
        <v>193.05</v>
      </c>
      <c r="K223" s="18"/>
      <c r="L223" s="19">
        <f t="shared" si="2"/>
        <v>94339.19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23206.95</v>
      </c>
      <c r="G225" s="18">
        <v>7464.93</v>
      </c>
      <c r="H225" s="18">
        <v>29226.6</v>
      </c>
      <c r="I225" s="18">
        <v>43044.3</v>
      </c>
      <c r="J225" s="18">
        <v>8465.25</v>
      </c>
      <c r="K225" s="18"/>
      <c r="L225" s="19">
        <f t="shared" si="2"/>
        <v>111408.03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45691.93</v>
      </c>
      <c r="I226" s="18"/>
      <c r="J226" s="18"/>
      <c r="K226" s="18"/>
      <c r="L226" s="19">
        <f t="shared" si="2"/>
        <v>45691.93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15014.24</v>
      </c>
      <c r="I227" s="18">
        <v>12038.89</v>
      </c>
      <c r="J227" s="18">
        <v>5493.99</v>
      </c>
      <c r="K227" s="18"/>
      <c r="L227" s="19">
        <f>SUM(F227:K227)</f>
        <v>32547.119999999995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776773.39999999991</v>
      </c>
      <c r="G229" s="41">
        <f>SUM(G215:G228)</f>
        <v>319481</v>
      </c>
      <c r="H229" s="41">
        <f>SUM(H215:H228)</f>
        <v>197983.53</v>
      </c>
      <c r="I229" s="41">
        <f>SUM(I215:I228)</f>
        <v>68432.58</v>
      </c>
      <c r="J229" s="41">
        <f>SUM(J215:J228)</f>
        <v>16763.91</v>
      </c>
      <c r="K229" s="41">
        <f t="shared" si="3"/>
        <v>10791.23</v>
      </c>
      <c r="L229" s="41">
        <f t="shared" si="3"/>
        <v>1390225.65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596800.65</v>
      </c>
      <c r="G233" s="18">
        <v>237204.83</v>
      </c>
      <c r="H233" s="18">
        <v>1318</v>
      </c>
      <c r="I233" s="18">
        <v>12352.36</v>
      </c>
      <c r="J233" s="18">
        <v>659</v>
      </c>
      <c r="K233" s="18"/>
      <c r="L233" s="19">
        <f>SUM(F233:K233)</f>
        <v>848334.84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67538.8</v>
      </c>
      <c r="G234" s="18">
        <v>33630.22</v>
      </c>
      <c r="H234" s="18">
        <v>54100.93</v>
      </c>
      <c r="I234" s="18">
        <v>51.8</v>
      </c>
      <c r="J234" s="18"/>
      <c r="K234" s="18"/>
      <c r="L234" s="19">
        <f>SUM(F234:K234)</f>
        <v>155321.75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84011.95</v>
      </c>
      <c r="G235" s="18">
        <v>27766.13</v>
      </c>
      <c r="H235" s="18">
        <v>45827.59</v>
      </c>
      <c r="I235" s="18">
        <v>319</v>
      </c>
      <c r="J235" s="18"/>
      <c r="K235" s="18"/>
      <c r="L235" s="19">
        <f>SUM(F235:K235)</f>
        <v>157924.66999999998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47964</v>
      </c>
      <c r="G236" s="18">
        <v>8271.66</v>
      </c>
      <c r="H236" s="18">
        <v>14450</v>
      </c>
      <c r="I236" s="18">
        <v>3202.41</v>
      </c>
      <c r="J236" s="18">
        <v>4949.5200000000004</v>
      </c>
      <c r="K236" s="18">
        <v>1199.26</v>
      </c>
      <c r="L236" s="19">
        <f>SUM(F236:K236)</f>
        <v>80036.850000000006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51523.77</v>
      </c>
      <c r="G238" s="18">
        <v>12226.11</v>
      </c>
      <c r="H238" s="18">
        <v>44309.26</v>
      </c>
      <c r="I238" s="18">
        <v>637.38</v>
      </c>
      <c r="J238" s="18">
        <v>511.59</v>
      </c>
      <c r="K238" s="18"/>
      <c r="L238" s="19">
        <f t="shared" ref="L238:L244" si="4">SUM(F238:K238)</f>
        <v>109208.11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11658.74</v>
      </c>
      <c r="G239" s="18">
        <v>1242.7</v>
      </c>
      <c r="H239" s="18">
        <v>1805.01</v>
      </c>
      <c r="I239" s="18">
        <v>437.19</v>
      </c>
      <c r="J239" s="18"/>
      <c r="K239" s="18">
        <v>11419.27</v>
      </c>
      <c r="L239" s="19">
        <f t="shared" si="4"/>
        <v>26562.910000000003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4292</v>
      </c>
      <c r="G240" s="18">
        <v>328.36</v>
      </c>
      <c r="H240" s="18">
        <v>80880.34</v>
      </c>
      <c r="I240" s="18"/>
      <c r="J240" s="18"/>
      <c r="K240" s="18">
        <v>7601.65</v>
      </c>
      <c r="L240" s="19">
        <f t="shared" si="4"/>
        <v>93102.349999999991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110622.67</v>
      </c>
      <c r="G241" s="18">
        <v>50601.42</v>
      </c>
      <c r="H241" s="18">
        <v>7979.02</v>
      </c>
      <c r="I241" s="18">
        <v>6092.13</v>
      </c>
      <c r="J241" s="18">
        <v>197.55</v>
      </c>
      <c r="K241" s="18">
        <v>857.54</v>
      </c>
      <c r="L241" s="19">
        <f t="shared" si="4"/>
        <v>176350.33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53290.87</v>
      </c>
      <c r="G243" s="18">
        <v>15459.1</v>
      </c>
      <c r="H243" s="18">
        <v>31107.45</v>
      </c>
      <c r="I243" s="18">
        <v>55721.97</v>
      </c>
      <c r="J243" s="18">
        <v>44965.27</v>
      </c>
      <c r="K243" s="18"/>
      <c r="L243" s="19">
        <f t="shared" si="4"/>
        <v>200544.66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105274.06</v>
      </c>
      <c r="I244" s="18"/>
      <c r="J244" s="18"/>
      <c r="K244" s="18"/>
      <c r="L244" s="19">
        <f t="shared" si="4"/>
        <v>105274.06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15015.83</v>
      </c>
      <c r="I245" s="18">
        <v>22465.95</v>
      </c>
      <c r="J245" s="18">
        <v>25716.78</v>
      </c>
      <c r="K245" s="18"/>
      <c r="L245" s="19">
        <f>SUM(F245:K245)</f>
        <v>63198.559999999998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1027703.4500000001</v>
      </c>
      <c r="G247" s="41">
        <f t="shared" si="5"/>
        <v>386730.52999999991</v>
      </c>
      <c r="H247" s="41">
        <f t="shared" si="5"/>
        <v>402067.49</v>
      </c>
      <c r="I247" s="41">
        <f t="shared" si="5"/>
        <v>101280.19</v>
      </c>
      <c r="J247" s="41">
        <f t="shared" si="5"/>
        <v>76999.709999999992</v>
      </c>
      <c r="K247" s="41">
        <f t="shared" si="5"/>
        <v>21077.72</v>
      </c>
      <c r="L247" s="41">
        <f t="shared" si="5"/>
        <v>2015859.0900000003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2889213.72</v>
      </c>
      <c r="G257" s="41">
        <f t="shared" si="8"/>
        <v>1197558.08</v>
      </c>
      <c r="H257" s="41">
        <f t="shared" si="8"/>
        <v>839818.07</v>
      </c>
      <c r="I257" s="41">
        <f t="shared" si="8"/>
        <v>255203.74100000001</v>
      </c>
      <c r="J257" s="41">
        <f t="shared" si="8"/>
        <v>104197.10999999999</v>
      </c>
      <c r="K257" s="41">
        <f t="shared" si="8"/>
        <v>44116.160000000003</v>
      </c>
      <c r="L257" s="41">
        <f t="shared" si="8"/>
        <v>5330106.881000001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39446.6</v>
      </c>
      <c r="L260" s="19">
        <f>SUM(F260:K260)</f>
        <v>39446.6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1511.81</v>
      </c>
      <c r="L261" s="19">
        <f>SUM(F261:K261)</f>
        <v>1511.81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60958.409999999996</v>
      </c>
      <c r="L270" s="41">
        <f t="shared" si="9"/>
        <v>60958.409999999996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2889213.72</v>
      </c>
      <c r="G271" s="42">
        <f t="shared" si="11"/>
        <v>1197558.08</v>
      </c>
      <c r="H271" s="42">
        <f t="shared" si="11"/>
        <v>839818.07</v>
      </c>
      <c r="I271" s="42">
        <f t="shared" si="11"/>
        <v>255203.74100000001</v>
      </c>
      <c r="J271" s="42">
        <f t="shared" si="11"/>
        <v>104197.10999999999</v>
      </c>
      <c r="K271" s="42">
        <f t="shared" si="11"/>
        <v>105074.57</v>
      </c>
      <c r="L271" s="42">
        <f t="shared" si="11"/>
        <v>5391065.2910000011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4539.8999999999996</v>
      </c>
      <c r="G276" s="18">
        <v>567.35</v>
      </c>
      <c r="H276" s="18">
        <v>341.92</v>
      </c>
      <c r="I276" s="18">
        <v>605.11</v>
      </c>
      <c r="J276" s="18">
        <v>889.97</v>
      </c>
      <c r="K276" s="18"/>
      <c r="L276" s="19">
        <f>SUM(F276:K276)</f>
        <v>6944.25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129468.55</v>
      </c>
      <c r="G277" s="18">
        <v>49146.22</v>
      </c>
      <c r="H277" s="18">
        <v>26188.19</v>
      </c>
      <c r="I277" s="18">
        <v>3371.81</v>
      </c>
      <c r="J277" s="18">
        <v>10733.84</v>
      </c>
      <c r="K277" s="18"/>
      <c r="L277" s="19">
        <f>SUM(F277:K277)</f>
        <v>218908.61000000002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1073</v>
      </c>
      <c r="G282" s="18"/>
      <c r="H282" s="18">
        <v>644.54</v>
      </c>
      <c r="I282" s="18"/>
      <c r="J282" s="18">
        <v>6882</v>
      </c>
      <c r="K282" s="18"/>
      <c r="L282" s="19">
        <f t="shared" si="12"/>
        <v>8599.5400000000009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4836.26</v>
      </c>
      <c r="L283" s="19">
        <f t="shared" si="12"/>
        <v>4836.26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135081.45000000001</v>
      </c>
      <c r="G290" s="42">
        <f t="shared" si="13"/>
        <v>49713.57</v>
      </c>
      <c r="H290" s="42">
        <f t="shared" si="13"/>
        <v>27174.649999999998</v>
      </c>
      <c r="I290" s="42">
        <f t="shared" si="13"/>
        <v>3976.92</v>
      </c>
      <c r="J290" s="42">
        <f t="shared" si="13"/>
        <v>18505.809999999998</v>
      </c>
      <c r="K290" s="42">
        <f t="shared" si="13"/>
        <v>4836.26</v>
      </c>
      <c r="L290" s="41">
        <f t="shared" si="13"/>
        <v>239288.66000000003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3190.2</v>
      </c>
      <c r="G295" s="18">
        <v>398.68</v>
      </c>
      <c r="H295" s="18">
        <v>240.26</v>
      </c>
      <c r="I295" s="18">
        <v>425.2</v>
      </c>
      <c r="J295" s="18">
        <v>625.39</v>
      </c>
      <c r="K295" s="18"/>
      <c r="L295" s="19">
        <f>SUM(F295:K295)</f>
        <v>4879.7299999999996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754</v>
      </c>
      <c r="G301" s="18"/>
      <c r="H301" s="18">
        <v>452.92</v>
      </c>
      <c r="I301" s="18"/>
      <c r="J301" s="18">
        <v>4836</v>
      </c>
      <c r="K301" s="18"/>
      <c r="L301" s="19">
        <f t="shared" si="14"/>
        <v>6042.92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>
        <v>3398.46</v>
      </c>
      <c r="L302" s="19">
        <f t="shared" si="14"/>
        <v>3398.46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3944.2</v>
      </c>
      <c r="G309" s="42">
        <f t="shared" si="15"/>
        <v>398.68</v>
      </c>
      <c r="H309" s="42">
        <f t="shared" si="15"/>
        <v>693.18000000000006</v>
      </c>
      <c r="I309" s="42">
        <f t="shared" si="15"/>
        <v>425.2</v>
      </c>
      <c r="J309" s="42">
        <f t="shared" si="15"/>
        <v>5461.39</v>
      </c>
      <c r="K309" s="42">
        <f t="shared" si="15"/>
        <v>3398.46</v>
      </c>
      <c r="L309" s="41">
        <f t="shared" si="15"/>
        <v>14321.11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4539.8999999999996</v>
      </c>
      <c r="G314" s="18">
        <v>567.35</v>
      </c>
      <c r="H314" s="18">
        <v>341.92</v>
      </c>
      <c r="I314" s="18">
        <v>605.11</v>
      </c>
      <c r="J314" s="18">
        <v>889.97</v>
      </c>
      <c r="K314" s="18"/>
      <c r="L314" s="19">
        <f>SUM(F314:K314)</f>
        <v>6944.25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6000</v>
      </c>
      <c r="G317" s="18">
        <v>1286.1199999999999</v>
      </c>
      <c r="H317" s="18"/>
      <c r="I317" s="18"/>
      <c r="J317" s="18"/>
      <c r="K317" s="18"/>
      <c r="L317" s="19">
        <f>SUM(F317:K317)</f>
        <v>7286.12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1073</v>
      </c>
      <c r="G320" s="18"/>
      <c r="H320" s="18">
        <v>644.54</v>
      </c>
      <c r="I320" s="18"/>
      <c r="J320" s="18">
        <v>6882</v>
      </c>
      <c r="K320" s="18"/>
      <c r="L320" s="19">
        <f t="shared" si="16"/>
        <v>8599.5400000000009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4836.26</v>
      </c>
      <c r="L321" s="19">
        <f t="shared" si="16"/>
        <v>4836.26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11612.9</v>
      </c>
      <c r="G328" s="42">
        <f t="shared" si="17"/>
        <v>1853.4699999999998</v>
      </c>
      <c r="H328" s="42">
        <f t="shared" si="17"/>
        <v>986.46</v>
      </c>
      <c r="I328" s="42">
        <f t="shared" si="17"/>
        <v>605.11</v>
      </c>
      <c r="J328" s="42">
        <f t="shared" si="17"/>
        <v>7771.97</v>
      </c>
      <c r="K328" s="42">
        <f t="shared" si="17"/>
        <v>4836.26</v>
      </c>
      <c r="L328" s="41">
        <f t="shared" si="17"/>
        <v>27666.17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150638.55000000002</v>
      </c>
      <c r="G338" s="41">
        <f t="shared" si="20"/>
        <v>51965.72</v>
      </c>
      <c r="H338" s="41">
        <f t="shared" si="20"/>
        <v>28854.289999999997</v>
      </c>
      <c r="I338" s="41">
        <f t="shared" si="20"/>
        <v>5007.2299999999996</v>
      </c>
      <c r="J338" s="41">
        <f t="shared" si="20"/>
        <v>31739.17</v>
      </c>
      <c r="K338" s="41">
        <f t="shared" si="20"/>
        <v>13070.980000000001</v>
      </c>
      <c r="L338" s="41">
        <f t="shared" si="20"/>
        <v>281275.94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150638.55000000002</v>
      </c>
      <c r="G352" s="41">
        <f>G338</f>
        <v>51965.72</v>
      </c>
      <c r="H352" s="41">
        <f>H338</f>
        <v>28854.289999999997</v>
      </c>
      <c r="I352" s="41">
        <f>I338</f>
        <v>5007.2299999999996</v>
      </c>
      <c r="J352" s="41">
        <f>J338</f>
        <v>31739.17</v>
      </c>
      <c r="K352" s="47">
        <f>K338+K351</f>
        <v>13070.980000000001</v>
      </c>
      <c r="L352" s="41">
        <f>L338+L351</f>
        <v>281275.94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19859.62</v>
      </c>
      <c r="G358" s="18">
        <v>7930.08</v>
      </c>
      <c r="H358" s="18">
        <v>553.91999999999996</v>
      </c>
      <c r="I358" s="18">
        <v>10047.9</v>
      </c>
      <c r="J358" s="18"/>
      <c r="K358" s="18">
        <v>10</v>
      </c>
      <c r="L358" s="13">
        <f>SUM(F358:K358)</f>
        <v>38401.519999999997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13955.42</v>
      </c>
      <c r="G359" s="18">
        <v>5572.48</v>
      </c>
      <c r="H359" s="18">
        <v>389.25</v>
      </c>
      <c r="I359" s="18">
        <v>7060.68</v>
      </c>
      <c r="J359" s="18"/>
      <c r="K359" s="18"/>
      <c r="L359" s="19">
        <f>SUM(F359:K359)</f>
        <v>26977.83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19859.62</v>
      </c>
      <c r="G360" s="18">
        <v>7930.08</v>
      </c>
      <c r="H360" s="18">
        <v>553.91999999999996</v>
      </c>
      <c r="I360" s="18">
        <v>10047.9</v>
      </c>
      <c r="J360" s="18"/>
      <c r="K360" s="18"/>
      <c r="L360" s="19">
        <f>SUM(F360:K360)</f>
        <v>38391.519999999997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53674.66</v>
      </c>
      <c r="G362" s="47">
        <f t="shared" si="22"/>
        <v>21432.639999999999</v>
      </c>
      <c r="H362" s="47">
        <f t="shared" si="22"/>
        <v>1497.09</v>
      </c>
      <c r="I362" s="47">
        <f t="shared" si="22"/>
        <v>27156.480000000003</v>
      </c>
      <c r="J362" s="47">
        <f t="shared" si="22"/>
        <v>0</v>
      </c>
      <c r="K362" s="47">
        <f t="shared" si="22"/>
        <v>10</v>
      </c>
      <c r="L362" s="47">
        <f t="shared" si="22"/>
        <v>103770.87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8733.6299999999992</v>
      </c>
      <c r="G367" s="18">
        <v>6137.14</v>
      </c>
      <c r="H367" s="18">
        <v>8733.6299999999992</v>
      </c>
      <c r="I367" s="56">
        <f>SUM(F367:H367)</f>
        <v>23604.400000000001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1314.27</v>
      </c>
      <c r="G368" s="63">
        <v>923.54</v>
      </c>
      <c r="H368" s="63">
        <v>1314.27</v>
      </c>
      <c r="I368" s="56">
        <f>SUM(F368:H368)</f>
        <v>3552.08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10047.9</v>
      </c>
      <c r="G369" s="47">
        <f>SUM(G367:G368)</f>
        <v>7060.68</v>
      </c>
      <c r="H369" s="47">
        <f>SUM(H367:H368)</f>
        <v>10047.9</v>
      </c>
      <c r="I369" s="47">
        <f>SUM(I367:I368)</f>
        <v>27156.480000000003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20000</v>
      </c>
      <c r="H396" s="18">
        <v>19.72</v>
      </c>
      <c r="I396" s="18"/>
      <c r="J396" s="24" t="s">
        <v>289</v>
      </c>
      <c r="K396" s="24" t="s">
        <v>289</v>
      </c>
      <c r="L396" s="56">
        <f t="shared" si="26"/>
        <v>20019.72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11.6</v>
      </c>
      <c r="I397" s="18"/>
      <c r="J397" s="24" t="s">
        <v>289</v>
      </c>
      <c r="K397" s="24" t="s">
        <v>289</v>
      </c>
      <c r="L397" s="56">
        <f t="shared" si="26"/>
        <v>11.6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31.32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20031.32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31.32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20031.32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45595</v>
      </c>
      <c r="L422" s="56">
        <f t="shared" si="29"/>
        <v>45595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45595</v>
      </c>
      <c r="L427" s="47">
        <f t="shared" si="30"/>
        <v>45595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45595</v>
      </c>
      <c r="L434" s="47">
        <f t="shared" si="32"/>
        <v>45595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45836.12</v>
      </c>
      <c r="G439" s="18">
        <v>37200.18</v>
      </c>
      <c r="H439" s="18"/>
      <c r="I439" s="56">
        <f t="shared" ref="I439:I445" si="33">SUM(F439:H439)</f>
        <v>83036.3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45836.12</v>
      </c>
      <c r="G446" s="13">
        <f>SUM(G439:G445)</f>
        <v>37200.18</v>
      </c>
      <c r="H446" s="13">
        <f>SUM(H439:H445)</f>
        <v>0</v>
      </c>
      <c r="I446" s="13">
        <f>SUM(I439:I445)</f>
        <v>83036.3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45836.12</v>
      </c>
      <c r="G459" s="18">
        <v>37200.18</v>
      </c>
      <c r="H459" s="18"/>
      <c r="I459" s="56">
        <f t="shared" si="34"/>
        <v>83036.3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45836.12</v>
      </c>
      <c r="G460" s="83">
        <f>SUM(G454:G459)</f>
        <v>37200.18</v>
      </c>
      <c r="H460" s="83">
        <f>SUM(H454:H459)</f>
        <v>0</v>
      </c>
      <c r="I460" s="83">
        <f>SUM(I454:I459)</f>
        <v>83036.3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45836.12</v>
      </c>
      <c r="G461" s="42">
        <f>G452+G460</f>
        <v>37200.18</v>
      </c>
      <c r="H461" s="42">
        <f>H452+H460</f>
        <v>0</v>
      </c>
      <c r="I461" s="42">
        <f>I452+I460</f>
        <v>83036.3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99415.57</v>
      </c>
      <c r="G465" s="18">
        <v>0</v>
      </c>
      <c r="H465" s="18">
        <v>-180.26</v>
      </c>
      <c r="I465" s="18"/>
      <c r="J465" s="18">
        <v>108599.98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5396013.7400000002</v>
      </c>
      <c r="G468" s="18">
        <v>103945.03</v>
      </c>
      <c r="H468" s="18">
        <v>281456.2</v>
      </c>
      <c r="I468" s="18"/>
      <c r="J468" s="18">
        <v>20031.32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5396013.7400000002</v>
      </c>
      <c r="G470" s="53">
        <f>SUM(G468:G469)</f>
        <v>103945.03</v>
      </c>
      <c r="H470" s="53">
        <f>SUM(H468:H469)</f>
        <v>281456.2</v>
      </c>
      <c r="I470" s="53">
        <f>SUM(I468:I469)</f>
        <v>0</v>
      </c>
      <c r="J470" s="53">
        <f>SUM(J468:J469)</f>
        <v>20031.32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5391065.29</v>
      </c>
      <c r="G472" s="18">
        <v>103770.87</v>
      </c>
      <c r="H472" s="18">
        <v>281275.94</v>
      </c>
      <c r="I472" s="18"/>
      <c r="J472" s="18">
        <v>45595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5391065.29</v>
      </c>
      <c r="G474" s="53">
        <f>SUM(G472:G473)</f>
        <v>103770.87</v>
      </c>
      <c r="H474" s="53">
        <f>SUM(H472:H473)</f>
        <v>281275.94</v>
      </c>
      <c r="I474" s="53">
        <f>SUM(I472:I473)</f>
        <v>0</v>
      </c>
      <c r="J474" s="53">
        <f>SUM(J472:J473)</f>
        <v>45595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104364.02000000048</v>
      </c>
      <c r="G476" s="53">
        <f>(G465+G470)- G474</f>
        <v>174.16000000000349</v>
      </c>
      <c r="H476" s="53">
        <f>(H465+H470)- H474</f>
        <v>0</v>
      </c>
      <c r="I476" s="53">
        <f>(I465+I470)- I474</f>
        <v>0</v>
      </c>
      <c r="J476" s="53">
        <f>(J465+J470)- J474</f>
        <v>83036.299999999988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197233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3.88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39446.6</v>
      </c>
      <c r="G495" s="18"/>
      <c r="H495" s="18"/>
      <c r="I495" s="18"/>
      <c r="J495" s="18"/>
      <c r="K495" s="53">
        <f>SUM(F495:J495)</f>
        <v>39446.6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39446.6</v>
      </c>
      <c r="G497" s="18"/>
      <c r="H497" s="18"/>
      <c r="I497" s="18"/>
      <c r="J497" s="18"/>
      <c r="K497" s="53">
        <f t="shared" si="35"/>
        <v>39446.6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4517157.18</v>
      </c>
      <c r="G513" s="24" t="s">
        <v>289</v>
      </c>
      <c r="H513" s="18">
        <v>1666295.81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202474.4</v>
      </c>
      <c r="G514" s="24" t="s">
        <v>289</v>
      </c>
      <c r="H514" s="18">
        <v>150955.49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45595</v>
      </c>
      <c r="H516" s="24" t="s">
        <v>289</v>
      </c>
      <c r="I516" s="18">
        <v>2947975.28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4719631.58</v>
      </c>
      <c r="G517" s="42">
        <f>SUM(G511:G516)</f>
        <v>45595</v>
      </c>
      <c r="H517" s="42">
        <f>SUM(H511:H516)</f>
        <v>1817251.3</v>
      </c>
      <c r="I517" s="42">
        <f>SUM(I511:I516)</f>
        <v>2947975.28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307804.84000000003</v>
      </c>
      <c r="G521" s="18">
        <v>137667.92000000001</v>
      </c>
      <c r="H521" s="18">
        <v>41603.19</v>
      </c>
      <c r="I521" s="18">
        <v>3474.06</v>
      </c>
      <c r="J521" s="18">
        <v>10773.83</v>
      </c>
      <c r="K521" s="18"/>
      <c r="L521" s="88">
        <f>SUM(F521:K521)</f>
        <v>501323.84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113846.51</v>
      </c>
      <c r="G522" s="18">
        <v>45461.58</v>
      </c>
      <c r="H522" s="18"/>
      <c r="I522" s="18">
        <v>51.8</v>
      </c>
      <c r="J522" s="18"/>
      <c r="K522" s="18"/>
      <c r="L522" s="88">
        <f>SUM(F522:K522)</f>
        <v>159359.88999999998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67538.8</v>
      </c>
      <c r="G523" s="18">
        <v>33630.22</v>
      </c>
      <c r="H523" s="18">
        <v>54100.93</v>
      </c>
      <c r="I523" s="18">
        <v>51.8</v>
      </c>
      <c r="J523" s="18"/>
      <c r="K523" s="18"/>
      <c r="L523" s="88">
        <f>SUM(F523:K523)</f>
        <v>155321.75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489190.15</v>
      </c>
      <c r="G524" s="108">
        <f t="shared" ref="G524:L524" si="36">SUM(G521:G523)</f>
        <v>216759.72</v>
      </c>
      <c r="H524" s="108">
        <f t="shared" si="36"/>
        <v>95704.12</v>
      </c>
      <c r="I524" s="108">
        <f t="shared" si="36"/>
        <v>3577.6600000000003</v>
      </c>
      <c r="J524" s="108">
        <f t="shared" si="36"/>
        <v>10773.83</v>
      </c>
      <c r="K524" s="108">
        <f t="shared" si="36"/>
        <v>0</v>
      </c>
      <c r="L524" s="89">
        <f t="shared" si="36"/>
        <v>816005.48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27520.57</v>
      </c>
      <c r="I526" s="18"/>
      <c r="J526" s="18"/>
      <c r="K526" s="18"/>
      <c r="L526" s="88">
        <f>SUM(F526:K526)</f>
        <v>27520.57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19338.79</v>
      </c>
      <c r="I527" s="18"/>
      <c r="J527" s="18"/>
      <c r="K527" s="18"/>
      <c r="L527" s="88">
        <f>SUM(F527:K527)</f>
        <v>19338.79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27520.57</v>
      </c>
      <c r="I528" s="18"/>
      <c r="J528" s="18"/>
      <c r="K528" s="18"/>
      <c r="L528" s="88">
        <f>SUM(F528:K528)</f>
        <v>27520.57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74379.929999999993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74379.929999999993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9238.5499999999993</v>
      </c>
      <c r="I541" s="18"/>
      <c r="J541" s="18"/>
      <c r="K541" s="18"/>
      <c r="L541" s="88">
        <f>SUM(F541:K541)</f>
        <v>9238.5499999999993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9238.5499999999993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9238.5499999999993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489190.15</v>
      </c>
      <c r="G545" s="89">
        <f t="shared" ref="G545:L545" si="41">G524+G529+G534+G539+G544</f>
        <v>216759.72</v>
      </c>
      <c r="H545" s="89">
        <f t="shared" si="41"/>
        <v>179322.59999999998</v>
      </c>
      <c r="I545" s="89">
        <f t="shared" si="41"/>
        <v>3577.6600000000003</v>
      </c>
      <c r="J545" s="89">
        <f t="shared" si="41"/>
        <v>10773.83</v>
      </c>
      <c r="K545" s="89">
        <f t="shared" si="41"/>
        <v>0</v>
      </c>
      <c r="L545" s="89">
        <f t="shared" si="41"/>
        <v>899623.96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501323.84</v>
      </c>
      <c r="G549" s="87">
        <f>L526</f>
        <v>27520.57</v>
      </c>
      <c r="H549" s="87">
        <f>L531</f>
        <v>0</v>
      </c>
      <c r="I549" s="87">
        <f>L536</f>
        <v>0</v>
      </c>
      <c r="J549" s="87">
        <f>L541</f>
        <v>9238.5499999999993</v>
      </c>
      <c r="K549" s="87">
        <f>SUM(F549:J549)</f>
        <v>538082.96000000008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159359.88999999998</v>
      </c>
      <c r="G550" s="87">
        <f>L527</f>
        <v>19338.79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178698.68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155321.75</v>
      </c>
      <c r="G551" s="87">
        <f>L528</f>
        <v>27520.57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182842.32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816005.48</v>
      </c>
      <c r="G552" s="89">
        <f t="shared" si="42"/>
        <v>74379.929999999993</v>
      </c>
      <c r="H552" s="89">
        <f t="shared" si="42"/>
        <v>0</v>
      </c>
      <c r="I552" s="89">
        <f t="shared" si="42"/>
        <v>0</v>
      </c>
      <c r="J552" s="89">
        <f t="shared" si="42"/>
        <v>9238.5499999999993</v>
      </c>
      <c r="K552" s="89">
        <f t="shared" si="42"/>
        <v>899623.9600000002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15415</v>
      </c>
      <c r="G582" s="18"/>
      <c r="H582" s="18">
        <v>54100.93</v>
      </c>
      <c r="I582" s="87">
        <f t="shared" si="47"/>
        <v>69515.929999999993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45827.59</v>
      </c>
      <c r="I584" s="87">
        <f t="shared" si="47"/>
        <v>45827.59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47625.11</v>
      </c>
      <c r="I591" s="18">
        <v>33466.31</v>
      </c>
      <c r="J591" s="18">
        <v>47625.11</v>
      </c>
      <c r="K591" s="104">
        <f t="shared" ref="K591:K597" si="48">SUM(H591:J591)</f>
        <v>128716.53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9238.35</v>
      </c>
      <c r="I592" s="18">
        <v>0</v>
      </c>
      <c r="J592" s="18">
        <v>0</v>
      </c>
      <c r="K592" s="104">
        <f t="shared" si="48"/>
        <v>9238.35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26408</v>
      </c>
      <c r="K593" s="104">
        <f t="shared" si="48"/>
        <v>26408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8582.64</v>
      </c>
      <c r="J594" s="18">
        <v>26056.69</v>
      </c>
      <c r="K594" s="104">
        <f t="shared" si="48"/>
        <v>34639.33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5184.26</v>
      </c>
      <c r="I595" s="18">
        <v>3642.98</v>
      </c>
      <c r="J595" s="18">
        <v>5184.26</v>
      </c>
      <c r="K595" s="104">
        <f t="shared" si="48"/>
        <v>14011.5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62047.72</v>
      </c>
      <c r="I598" s="108">
        <f>SUM(I591:I597)</f>
        <v>45691.93</v>
      </c>
      <c r="J598" s="108">
        <f>SUM(J591:J597)</f>
        <v>105274.06</v>
      </c>
      <c r="K598" s="108">
        <f>SUM(K591:K597)</f>
        <v>213013.71000000002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28939.3</v>
      </c>
      <c r="I604" s="18">
        <v>22225.3</v>
      </c>
      <c r="J604" s="18">
        <v>84771.68</v>
      </c>
      <c r="K604" s="104">
        <f>SUM(H604:J604)</f>
        <v>135936.28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28939.3</v>
      </c>
      <c r="I605" s="108">
        <f>SUM(I602:I604)</f>
        <v>22225.3</v>
      </c>
      <c r="J605" s="108">
        <f>SUM(J602:J604)</f>
        <v>84771.68</v>
      </c>
      <c r="K605" s="108">
        <f>SUM(K602:K604)</f>
        <v>135936.28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1870</v>
      </c>
      <c r="G611" s="18">
        <v>344.45</v>
      </c>
      <c r="H611" s="18"/>
      <c r="I611" s="18"/>
      <c r="J611" s="18"/>
      <c r="K611" s="18"/>
      <c r="L611" s="88">
        <f>SUM(F611:K611)</f>
        <v>2214.4499999999998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7935</v>
      </c>
      <c r="G612" s="18">
        <v>1730.67</v>
      </c>
      <c r="H612" s="18"/>
      <c r="I612" s="18"/>
      <c r="J612" s="18"/>
      <c r="K612" s="18"/>
      <c r="L612" s="88">
        <f>SUM(F612:K612)</f>
        <v>9665.67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9805</v>
      </c>
      <c r="G614" s="108">
        <f t="shared" si="49"/>
        <v>2075.12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11880.119999999999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154817.07999999999</v>
      </c>
      <c r="H617" s="109">
        <f>SUM(F52)</f>
        <v>154817.08000000002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974.16000000000031</v>
      </c>
      <c r="H618" s="109">
        <f>SUM(G52)</f>
        <v>974.16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83036.3</v>
      </c>
      <c r="H621" s="109">
        <f>SUM(J52)</f>
        <v>83036.3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104364.02</v>
      </c>
      <c r="H622" s="109">
        <f>F476</f>
        <v>104364.02000000048</v>
      </c>
      <c r="I622" s="121" t="s">
        <v>101</v>
      </c>
      <c r="J622" s="109">
        <f t="shared" ref="J622:J655" si="50">G622-H622</f>
        <v>-4.8021320253610611E-10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174.16</v>
      </c>
      <c r="H623" s="109">
        <f>G476</f>
        <v>174.16000000000349</v>
      </c>
      <c r="I623" s="121" t="s">
        <v>102</v>
      </c>
      <c r="J623" s="109">
        <f t="shared" si="50"/>
        <v>-3.4958702599396929E-12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83036.3</v>
      </c>
      <c r="H626" s="109">
        <f>J476</f>
        <v>83036.299999999988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5396013.7400000002</v>
      </c>
      <c r="H627" s="104">
        <f>SUM(F468)</f>
        <v>5396013.7400000002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103945.03</v>
      </c>
      <c r="H628" s="104">
        <f>SUM(G468)</f>
        <v>103945.03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281456.2</v>
      </c>
      <c r="H629" s="104">
        <f>SUM(H468)</f>
        <v>281456.2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20031.32</v>
      </c>
      <c r="H631" s="104">
        <f>SUM(J468)</f>
        <v>20031.32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5391065.2910000011</v>
      </c>
      <c r="H632" s="104">
        <f>SUM(F472)</f>
        <v>5391065.29</v>
      </c>
      <c r="I632" s="140" t="s">
        <v>111</v>
      </c>
      <c r="J632" s="109">
        <f t="shared" si="50"/>
        <v>1.0000010952353477E-3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281275.94</v>
      </c>
      <c r="H633" s="104">
        <f>SUM(H472)</f>
        <v>281275.94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27156.480000000003</v>
      </c>
      <c r="H634" s="104">
        <f>I369</f>
        <v>27156.480000000003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103770.87</v>
      </c>
      <c r="H635" s="104">
        <f>SUM(G472)</f>
        <v>103770.87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20031.32</v>
      </c>
      <c r="H637" s="164">
        <f>SUM(J468)</f>
        <v>20031.32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45595</v>
      </c>
      <c r="H638" s="164">
        <f>SUM(J472)</f>
        <v>45595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45836.12</v>
      </c>
      <c r="H639" s="104">
        <f>SUM(F461)</f>
        <v>45836.12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37200.18</v>
      </c>
      <c r="H640" s="104">
        <f>SUM(G461)</f>
        <v>37200.18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83036.3</v>
      </c>
      <c r="H642" s="104">
        <f>SUM(I461)</f>
        <v>83036.3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31.32</v>
      </c>
      <c r="H644" s="104">
        <f>H408</f>
        <v>31.32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20031.32</v>
      </c>
      <c r="H646" s="104">
        <f>L408</f>
        <v>20031.32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213013.71000000002</v>
      </c>
      <c r="H647" s="104">
        <f>L208+L226+L244</f>
        <v>213013.71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135936.28</v>
      </c>
      <c r="H648" s="104">
        <f>(J257+J338)-(J255+J336)</f>
        <v>135936.27999999997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62047.719999999994</v>
      </c>
      <c r="H649" s="104">
        <f>H598</f>
        <v>62047.72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45691.93</v>
      </c>
      <c r="H650" s="104">
        <f>I598</f>
        <v>45691.93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105274.06</v>
      </c>
      <c r="H651" s="104">
        <f>J598</f>
        <v>105274.06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1.0000001639127731E-3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2201712.321</v>
      </c>
      <c r="G660" s="19">
        <f>(L229+L309+L359)</f>
        <v>1431524.59</v>
      </c>
      <c r="H660" s="19">
        <f>(L247+L328+L360)</f>
        <v>2081916.7800000003</v>
      </c>
      <c r="I660" s="19">
        <f>SUM(F660:H660)</f>
        <v>5715153.6910000006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11759.755376660136</v>
      </c>
      <c r="G661" s="19">
        <f>(L359/IF(SUM(L358:L360)=0,1,SUM(L358:L360))*(SUM(G97:G110)))</f>
        <v>8261.4615617590953</v>
      </c>
      <c r="H661" s="19">
        <f>(L360/IF(SUM(L358:L360)=0,1,SUM(L358:L360))*(SUM(G97:G110)))</f>
        <v>11756.693061580769</v>
      </c>
      <c r="I661" s="19">
        <f>SUM(F661:H661)</f>
        <v>31777.91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62047.719999999994</v>
      </c>
      <c r="G662" s="19">
        <f>(L226+L306)-(J226+J306)</f>
        <v>45691.93</v>
      </c>
      <c r="H662" s="19">
        <f>(L244+L325)-(J244+J325)</f>
        <v>105274.06</v>
      </c>
      <c r="I662" s="19">
        <f>SUM(F662:H662)</f>
        <v>213013.71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46568.75</v>
      </c>
      <c r="G663" s="199">
        <f>SUM(G575:G587)+SUM(I602:I604)+L612</f>
        <v>31890.97</v>
      </c>
      <c r="H663" s="199">
        <f>SUM(H575:H587)+SUM(J602:J604)+L613</f>
        <v>184700.19999999998</v>
      </c>
      <c r="I663" s="19">
        <f>SUM(F663:H663)</f>
        <v>263159.92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2081336.0956233398</v>
      </c>
      <c r="G664" s="19">
        <f>G660-SUM(G661:G663)</f>
        <v>1345680.2284382409</v>
      </c>
      <c r="H664" s="19">
        <f>H660-SUM(H661:H663)</f>
        <v>1780185.8269384196</v>
      </c>
      <c r="I664" s="19">
        <f>I660-SUM(I661:I663)</f>
        <v>5207202.1510000005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125.7</v>
      </c>
      <c r="G665" s="248">
        <v>88.85</v>
      </c>
      <c r="H665" s="248">
        <v>115.95</v>
      </c>
      <c r="I665" s="19">
        <f>SUM(F665:H665)</f>
        <v>330.5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16557.96</v>
      </c>
      <c r="G667" s="19">
        <f>ROUND(G664/G665,2)</f>
        <v>15145.53</v>
      </c>
      <c r="H667" s="19">
        <f>ROUND(H664/H665,2)</f>
        <v>15353.05</v>
      </c>
      <c r="I667" s="19">
        <f>ROUND(I664/I665,2)</f>
        <v>15755.53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-5.83</v>
      </c>
      <c r="I670" s="19">
        <f>SUM(F670:H670)</f>
        <v>-5.83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16557.96</v>
      </c>
      <c r="G672" s="19">
        <f>ROUND((G664+G669)/(G665+G670),2)</f>
        <v>15145.53</v>
      </c>
      <c r="H672" s="19">
        <f>ROUND((H664+H669)/(H665+H670),2)</f>
        <v>16165.87</v>
      </c>
      <c r="I672" s="19">
        <f>ROUND((I664+I669)/(I665+I670),2)</f>
        <v>16038.45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25" right="0.25" top="0.5" bottom="0.5" header="0.3" footer="0.3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LISBON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1784552.6099999996</v>
      </c>
      <c r="C9" s="229">
        <f>'DOE25'!G197+'DOE25'!G215+'DOE25'!G233+'DOE25'!G276+'DOE25'!G295+'DOE25'!G314</f>
        <v>777702.37999999989</v>
      </c>
    </row>
    <row r="10" spans="1:3" x14ac:dyDescent="0.2">
      <c r="A10" t="s">
        <v>779</v>
      </c>
      <c r="B10" s="240">
        <v>1728813.78</v>
      </c>
      <c r="C10" s="240">
        <v>767977.03</v>
      </c>
    </row>
    <row r="11" spans="1:3" x14ac:dyDescent="0.2">
      <c r="A11" t="s">
        <v>780</v>
      </c>
      <c r="B11" s="240">
        <v>27799.73</v>
      </c>
      <c r="C11" s="240">
        <v>7588</v>
      </c>
    </row>
    <row r="12" spans="1:3" x14ac:dyDescent="0.2">
      <c r="A12" t="s">
        <v>781</v>
      </c>
      <c r="B12" s="240">
        <v>27939.1</v>
      </c>
      <c r="C12" s="240">
        <v>2137.35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1784552.61</v>
      </c>
      <c r="C13" s="231">
        <f>SUM(C10:C12)</f>
        <v>777702.38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489190.14999999997</v>
      </c>
      <c r="C18" s="229">
        <f>'DOE25'!G198+'DOE25'!G216+'DOE25'!G234+'DOE25'!G277+'DOE25'!G296+'DOE25'!G315</f>
        <v>216759.72</v>
      </c>
    </row>
    <row r="19" spans="1:3" x14ac:dyDescent="0.2">
      <c r="A19" t="s">
        <v>779</v>
      </c>
      <c r="B19" s="240">
        <v>318432.55</v>
      </c>
      <c r="C19" s="240">
        <v>144388.72</v>
      </c>
    </row>
    <row r="20" spans="1:3" x14ac:dyDescent="0.2">
      <c r="A20" t="s">
        <v>780</v>
      </c>
      <c r="B20" s="240">
        <v>170757.6</v>
      </c>
      <c r="C20" s="240">
        <v>72371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489190.15</v>
      </c>
      <c r="C22" s="231">
        <f>SUM(C19:C21)</f>
        <v>216759.72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124316</v>
      </c>
      <c r="C27" s="234">
        <f>'DOE25'!G199+'DOE25'!G217+'DOE25'!G235+'DOE25'!G278+'DOE25'!G297+'DOE25'!G316</f>
        <v>39057.089999999997</v>
      </c>
    </row>
    <row r="28" spans="1:3" x14ac:dyDescent="0.2">
      <c r="A28" t="s">
        <v>779</v>
      </c>
      <c r="B28" s="240">
        <v>124316</v>
      </c>
      <c r="C28" s="240">
        <v>39057.089999999997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124316</v>
      </c>
      <c r="C31" s="231">
        <f>SUM(C28:C30)</f>
        <v>39057.089999999997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78797</v>
      </c>
      <c r="C36" s="235">
        <f>'DOE25'!G200+'DOE25'!G218+'DOE25'!G236+'DOE25'!G279+'DOE25'!G298+'DOE25'!G317</f>
        <v>14846.989999999998</v>
      </c>
    </row>
    <row r="37" spans="1:3" x14ac:dyDescent="0.2">
      <c r="A37" t="s">
        <v>779</v>
      </c>
      <c r="B37" s="240">
        <v>50823</v>
      </c>
      <c r="C37" s="240">
        <v>12079.94</v>
      </c>
    </row>
    <row r="38" spans="1:3" x14ac:dyDescent="0.2">
      <c r="A38" t="s">
        <v>780</v>
      </c>
      <c r="B38" s="240">
        <v>5822</v>
      </c>
      <c r="C38" s="240">
        <v>1072.42</v>
      </c>
    </row>
    <row r="39" spans="1:3" x14ac:dyDescent="0.2">
      <c r="A39" t="s">
        <v>781</v>
      </c>
      <c r="B39" s="240">
        <v>22152</v>
      </c>
      <c r="C39" s="240">
        <v>1694.63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78797</v>
      </c>
      <c r="C40" s="231">
        <f>SUM(C37:C39)</f>
        <v>14846.990000000002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LISBON REGIONAL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3509392.0810000002</v>
      </c>
      <c r="D5" s="20">
        <f>SUM('DOE25'!L197:L200)+SUM('DOE25'!L215:L218)+SUM('DOE25'!L233:L236)-F5-G5</f>
        <v>3497508.281</v>
      </c>
      <c r="E5" s="243"/>
      <c r="F5" s="255">
        <f>SUM('DOE25'!J197:J200)+SUM('DOE25'!J215:J218)+SUM('DOE25'!J233:J236)</f>
        <v>9467.14</v>
      </c>
      <c r="G5" s="53">
        <f>SUM('DOE25'!K197:K200)+SUM('DOE25'!K215:K218)+SUM('DOE25'!K233:K236)</f>
        <v>2416.66</v>
      </c>
      <c r="H5" s="259"/>
    </row>
    <row r="6" spans="1:9" x14ac:dyDescent="0.2">
      <c r="A6" s="32">
        <v>2100</v>
      </c>
      <c r="B6" t="s">
        <v>801</v>
      </c>
      <c r="C6" s="245">
        <f t="shared" si="0"/>
        <v>304039.88</v>
      </c>
      <c r="D6" s="20">
        <f>'DOE25'!L202+'DOE25'!L220+'DOE25'!L238-F6-G6</f>
        <v>303000.09000000003</v>
      </c>
      <c r="E6" s="243"/>
      <c r="F6" s="255">
        <f>'DOE25'!J202+'DOE25'!J220+'DOE25'!J238</f>
        <v>1039.79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83707.81</v>
      </c>
      <c r="D7" s="20">
        <f>'DOE25'!L203+'DOE25'!L221+'DOE25'!L239-F7-G7</f>
        <v>61580.429999999993</v>
      </c>
      <c r="E7" s="243"/>
      <c r="F7" s="255">
        <f>'DOE25'!J203+'DOE25'!J221+'DOE25'!J239</f>
        <v>0</v>
      </c>
      <c r="G7" s="53">
        <f>'DOE25'!K203+'DOE25'!K221+'DOE25'!K239</f>
        <v>22127.38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149188.79999999996</v>
      </c>
      <c r="D8" s="243"/>
      <c r="E8" s="20">
        <f>'DOE25'!L204+'DOE25'!L222+'DOE25'!L240-F8-G8-D9-D11</f>
        <v>130474.21999999996</v>
      </c>
      <c r="F8" s="255">
        <f>'DOE25'!J204+'DOE25'!J222+'DOE25'!J240</f>
        <v>0</v>
      </c>
      <c r="G8" s="53">
        <f>'DOE25'!K204+'DOE25'!K222+'DOE25'!K240</f>
        <v>18714.580000000002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63311.53</v>
      </c>
      <c r="D9" s="244">
        <v>63311.53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8690</v>
      </c>
      <c r="D10" s="243"/>
      <c r="E10" s="244">
        <v>8690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37297.199999999997</v>
      </c>
      <c r="D11" s="244">
        <v>37297.199999999997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406686.74</v>
      </c>
      <c r="D12" s="20">
        <f>'DOE25'!L205+'DOE25'!L223+'DOE25'!L241-F12-G12</f>
        <v>405245.55</v>
      </c>
      <c r="E12" s="243"/>
      <c r="F12" s="255">
        <f>'DOE25'!J205+'DOE25'!J223+'DOE25'!J241</f>
        <v>583.65000000000009</v>
      </c>
      <c r="G12" s="53">
        <f>'DOE25'!K205+'DOE25'!K223+'DOE25'!K241</f>
        <v>857.54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466219.39</v>
      </c>
      <c r="D14" s="20">
        <f>'DOE25'!L207+'DOE25'!L225+'DOE25'!L243-F14-G14</f>
        <v>404323.63</v>
      </c>
      <c r="E14" s="243"/>
      <c r="F14" s="255">
        <f>'DOE25'!J207+'DOE25'!J225+'DOE25'!J243</f>
        <v>61895.759999999995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213013.71</v>
      </c>
      <c r="D15" s="20">
        <f>'DOE25'!L208+'DOE25'!L226+'DOE25'!L244-F15-G15</f>
        <v>213013.71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97249.739999999991</v>
      </c>
      <c r="D16" s="243"/>
      <c r="E16" s="20">
        <f>'DOE25'!L209+'DOE25'!L227+'DOE25'!L245-F16-G16</f>
        <v>66038.97</v>
      </c>
      <c r="F16" s="255">
        <f>'DOE25'!J209+'DOE25'!J227+'DOE25'!J245</f>
        <v>31210.769999999997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40958.409999999996</v>
      </c>
      <c r="D25" s="243"/>
      <c r="E25" s="243"/>
      <c r="F25" s="258"/>
      <c r="G25" s="256"/>
      <c r="H25" s="257">
        <f>'DOE25'!L260+'DOE25'!L261+'DOE25'!L341+'DOE25'!L342</f>
        <v>40958.409999999996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80166.47</v>
      </c>
      <c r="D29" s="20">
        <f>'DOE25'!L358+'DOE25'!L359+'DOE25'!L360-'DOE25'!I367-F29-G29</f>
        <v>80156.47</v>
      </c>
      <c r="E29" s="243"/>
      <c r="F29" s="255">
        <f>'DOE25'!J358+'DOE25'!J359+'DOE25'!J360</f>
        <v>0</v>
      </c>
      <c r="G29" s="53">
        <f>'DOE25'!K358+'DOE25'!K359+'DOE25'!K360</f>
        <v>10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281275.94</v>
      </c>
      <c r="D31" s="20">
        <f>'DOE25'!L290+'DOE25'!L309+'DOE25'!L328+'DOE25'!L333+'DOE25'!L334+'DOE25'!L335-F31-G31</f>
        <v>236465.79</v>
      </c>
      <c r="E31" s="243"/>
      <c r="F31" s="255">
        <f>'DOE25'!J290+'DOE25'!J309+'DOE25'!J328+'DOE25'!J333+'DOE25'!J334+'DOE25'!J335</f>
        <v>31739.17</v>
      </c>
      <c r="G31" s="53">
        <f>'DOE25'!K290+'DOE25'!K309+'DOE25'!K328+'DOE25'!K333+'DOE25'!K334+'DOE25'!K335</f>
        <v>13070.980000000001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5301902.6809999999</v>
      </c>
      <c r="E33" s="246">
        <f>SUM(E5:E31)</f>
        <v>205203.18999999997</v>
      </c>
      <c r="F33" s="246">
        <f>SUM(F5:F31)</f>
        <v>135936.27999999997</v>
      </c>
      <c r="G33" s="246">
        <f>SUM(G5:G31)</f>
        <v>57197.140000000007</v>
      </c>
      <c r="H33" s="246">
        <f>SUM(H5:H31)</f>
        <v>40958.409999999996</v>
      </c>
    </row>
    <row r="35" spans="2:8" ht="12" thickBot="1" x14ac:dyDescent="0.25">
      <c r="B35" s="253" t="s">
        <v>847</v>
      </c>
      <c r="D35" s="254">
        <f>E33</f>
        <v>205203.18999999997</v>
      </c>
      <c r="E35" s="249"/>
    </row>
    <row r="36" spans="2:8" ht="12" thickTop="1" x14ac:dyDescent="0.2">
      <c r="B36" t="s">
        <v>815</v>
      </c>
      <c r="D36" s="20">
        <f>D33</f>
        <v>5301902.6809999999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LISBON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102622.87</v>
      </c>
      <c r="D8" s="95">
        <f>'DOE25'!G9</f>
        <v>-1854.1</v>
      </c>
      <c r="E8" s="95">
        <f>'DOE25'!H9</f>
        <v>-79158.600000000006</v>
      </c>
      <c r="F8" s="95">
        <f>'DOE25'!I9</f>
        <v>0</v>
      </c>
      <c r="G8" s="95">
        <f>'DOE25'!J9</f>
        <v>83036.3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2828.26</v>
      </c>
      <c r="E12" s="95">
        <f>'DOE25'!H13</f>
        <v>79158.600000000006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52194.21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154817.07999999999</v>
      </c>
      <c r="D18" s="41">
        <f>SUM(D8:D17)</f>
        <v>974.16000000000031</v>
      </c>
      <c r="E18" s="41">
        <f>SUM(E8:E17)</f>
        <v>0</v>
      </c>
      <c r="F18" s="41">
        <f>SUM(F8:F17)</f>
        <v>0</v>
      </c>
      <c r="G18" s="41">
        <f>SUM(G8:G17)</f>
        <v>83036.3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50453.06</v>
      </c>
      <c r="D23" s="95">
        <f>'DOE25'!G24</f>
        <v>800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50453.06</v>
      </c>
      <c r="D31" s="41">
        <f>SUM(D21:D30)</f>
        <v>800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174.16</v>
      </c>
      <c r="E47" s="95">
        <f>'DOE25'!H48</f>
        <v>0</v>
      </c>
      <c r="F47" s="95">
        <f>'DOE25'!I48</f>
        <v>0</v>
      </c>
      <c r="G47" s="95">
        <f>'DOE25'!J48</f>
        <v>83036.3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104364.02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104364.02</v>
      </c>
      <c r="D50" s="41">
        <f>SUM(D34:D49)</f>
        <v>174.16</v>
      </c>
      <c r="E50" s="41">
        <f>SUM(E34:E49)</f>
        <v>0</v>
      </c>
      <c r="F50" s="41">
        <f>SUM(F34:F49)</f>
        <v>0</v>
      </c>
      <c r="G50" s="41">
        <f>SUM(G34:G49)</f>
        <v>83036.3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154817.08000000002</v>
      </c>
      <c r="D51" s="41">
        <f>D50+D31</f>
        <v>974.16</v>
      </c>
      <c r="E51" s="41">
        <f>E50+E31</f>
        <v>0</v>
      </c>
      <c r="F51" s="41">
        <f>F50+F31</f>
        <v>0</v>
      </c>
      <c r="G51" s="41">
        <f>G50+G31</f>
        <v>83036.3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2077879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731372.63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422.79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31.32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31777.91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19019.32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750814.74</v>
      </c>
      <c r="D62" s="130">
        <f>SUM(D57:D61)</f>
        <v>31777.91</v>
      </c>
      <c r="E62" s="130">
        <f>SUM(E57:E61)</f>
        <v>0</v>
      </c>
      <c r="F62" s="130">
        <f>SUM(F57:F61)</f>
        <v>0</v>
      </c>
      <c r="G62" s="130">
        <f>SUM(G57:G61)</f>
        <v>31.32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2828693.74</v>
      </c>
      <c r="D63" s="22">
        <f>D56+D62</f>
        <v>31777.91</v>
      </c>
      <c r="E63" s="22">
        <f>E56+E62</f>
        <v>0</v>
      </c>
      <c r="F63" s="22">
        <f>F56+F62</f>
        <v>0</v>
      </c>
      <c r="G63" s="22">
        <f>G56+G62</f>
        <v>31.32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1984282.45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411019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2395301.4500000002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34861.230000000003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9548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1814.29</v>
      </c>
      <c r="E77" s="95">
        <f>SUM('DOE25'!H131:H135)</f>
        <v>7286.12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44409.23</v>
      </c>
      <c r="D78" s="130">
        <f>SUM(D72:D77)</f>
        <v>1814.29</v>
      </c>
      <c r="E78" s="130">
        <f>SUM(E72:E77)</f>
        <v>7286.12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2439710.6800000002</v>
      </c>
      <c r="D81" s="130">
        <f>SUM(D79:D80)+D78+D70</f>
        <v>1814.29</v>
      </c>
      <c r="E81" s="130">
        <f>SUM(E79:E80)+E78+E70</f>
        <v>7286.12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15469.81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81134.67</v>
      </c>
      <c r="D88" s="95">
        <f>SUM('DOE25'!G153:G161)</f>
        <v>70352.83</v>
      </c>
      <c r="E88" s="95">
        <f>SUM('DOE25'!H153:H161)</f>
        <v>258700.27000000002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879.65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82014.319999999992</v>
      </c>
      <c r="D91" s="131">
        <f>SUM(D85:D90)</f>
        <v>70352.83</v>
      </c>
      <c r="E91" s="131">
        <f>SUM(E85:E90)</f>
        <v>274170.08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45595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45595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5396013.7400000002</v>
      </c>
      <c r="D104" s="86">
        <f>D63+D81+D91+D103</f>
        <v>103945.03</v>
      </c>
      <c r="E104" s="86">
        <f>E63+E81+E91+E103</f>
        <v>281456.2</v>
      </c>
      <c r="F104" s="86">
        <f>F63+F81+F91+F103</f>
        <v>0</v>
      </c>
      <c r="G104" s="86">
        <f>G63+G81+G103</f>
        <v>20031.32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2581211.2599999998</v>
      </c>
      <c r="D109" s="24" t="s">
        <v>289</v>
      </c>
      <c r="E109" s="95">
        <f>('DOE25'!L276)+('DOE25'!L295)+('DOE25'!L314)</f>
        <v>18768.23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597096.87099999993</v>
      </c>
      <c r="D110" s="24" t="s">
        <v>289</v>
      </c>
      <c r="E110" s="95">
        <f>('DOE25'!L277)+('DOE25'!L296)+('DOE25'!L315)</f>
        <v>218908.61000000002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209942.40999999997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121141.54000000001</v>
      </c>
      <c r="D112" s="24" t="s">
        <v>289</v>
      </c>
      <c r="E112" s="95">
        <f>+('DOE25'!L279)+('DOE25'!L298)+('DOE25'!L317)</f>
        <v>7286.12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3509392.0809999998</v>
      </c>
      <c r="D115" s="86">
        <f>SUM(D109:D114)</f>
        <v>0</v>
      </c>
      <c r="E115" s="86">
        <f>SUM(E109:E114)</f>
        <v>244962.96000000002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304039.88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83707.81</v>
      </c>
      <c r="D119" s="24" t="s">
        <v>289</v>
      </c>
      <c r="E119" s="95">
        <f>+('DOE25'!L282)+('DOE25'!L301)+('DOE25'!L320)</f>
        <v>23242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249797.52999999997</v>
      </c>
      <c r="D120" s="24" t="s">
        <v>289</v>
      </c>
      <c r="E120" s="95">
        <f>+('DOE25'!L283)+('DOE25'!L302)+('DOE25'!L321)</f>
        <v>13070.980000000001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406686.74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466219.39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213013.71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97249.739999999991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103770.87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1820714.8</v>
      </c>
      <c r="D128" s="86">
        <f>SUM(D118:D127)</f>
        <v>103770.87</v>
      </c>
      <c r="E128" s="86">
        <f>SUM(E118:E127)</f>
        <v>36312.980000000003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39446.6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1511.81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45595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20031.32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-31.319999999999709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60958.409999999996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45595</v>
      </c>
    </row>
    <row r="145" spans="1:9" ht="12.75" thickTop="1" thickBot="1" x14ac:dyDescent="0.25">
      <c r="A145" s="33" t="s">
        <v>244</v>
      </c>
      <c r="C145" s="86">
        <f>(C115+C128+C144)</f>
        <v>5391065.2910000002</v>
      </c>
      <c r="D145" s="86">
        <f>(D115+D128+D144)</f>
        <v>103770.87</v>
      </c>
      <c r="E145" s="86">
        <f>(E115+E128+E144)</f>
        <v>281275.94</v>
      </c>
      <c r="F145" s="86">
        <f>(F115+F128+F144)</f>
        <v>0</v>
      </c>
      <c r="G145" s="86">
        <f>(G115+G128+G144)</f>
        <v>45595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197233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3.88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39446.6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39446.6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39446.6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39446.6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LISBON REGIONAL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16558</v>
      </c>
    </row>
    <row r="5" spans="1:4" x14ac:dyDescent="0.2">
      <c r="B5" t="s">
        <v>704</v>
      </c>
      <c r="C5" s="179">
        <f>IF('DOE25'!G665+'DOE25'!G670=0,0,ROUND('DOE25'!G672,0))</f>
        <v>15146</v>
      </c>
    </row>
    <row r="6" spans="1:4" x14ac:dyDescent="0.2">
      <c r="B6" t="s">
        <v>62</v>
      </c>
      <c r="C6" s="179">
        <f>IF('DOE25'!H665+'DOE25'!H670=0,0,ROUND('DOE25'!H672,0))</f>
        <v>16166</v>
      </c>
    </row>
    <row r="7" spans="1:4" x14ac:dyDescent="0.2">
      <c r="B7" t="s">
        <v>705</v>
      </c>
      <c r="C7" s="179">
        <f>IF('DOE25'!I665+'DOE25'!I670=0,0,ROUND('DOE25'!I672,0))</f>
        <v>16038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2599979</v>
      </c>
      <c r="D10" s="182">
        <f>ROUND((C10/$C$28)*100,1)</f>
        <v>45.7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816005</v>
      </c>
      <c r="D11" s="182">
        <f>ROUND((C11/$C$28)*100,1)</f>
        <v>14.4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209942</v>
      </c>
      <c r="D12" s="182">
        <f>ROUND((C12/$C$28)*100,1)</f>
        <v>3.7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128428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304040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106950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360118</v>
      </c>
      <c r="D17" s="182">
        <f t="shared" si="0"/>
        <v>6.3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406687</v>
      </c>
      <c r="D18" s="182">
        <f t="shared" si="0"/>
        <v>7.2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466219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213014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1512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71993.09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5684887.0899999999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5684887.0899999999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39447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2077879</v>
      </c>
      <c r="D35" s="182">
        <f t="shared" ref="D35:D40" si="1">ROUND((C35/$C$41)*100,1)</f>
        <v>36.4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750846.05999999959</v>
      </c>
      <c r="D36" s="182">
        <f t="shared" si="1"/>
        <v>13.2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2395301</v>
      </c>
      <c r="D37" s="182">
        <f t="shared" si="1"/>
        <v>42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53510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426537</v>
      </c>
      <c r="D39" s="182">
        <f t="shared" si="1"/>
        <v>7.5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5704073.0599999996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LISBON REGIONAL SCHOOL DISTRICT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70A" sheet="1" objects="1" scenarios="1"/>
  <mergeCells count="223"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9:CZ39"/>
    <mergeCell ref="BP38:BZ38"/>
    <mergeCell ref="CC38:CM38"/>
    <mergeCell ref="HP38:HZ38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2:M42"/>
    <mergeCell ref="P40:Z40"/>
    <mergeCell ref="AC40:AM40"/>
    <mergeCell ref="DC38:DM38"/>
    <mergeCell ref="DP38:DZ38"/>
    <mergeCell ref="EC38:EM38"/>
    <mergeCell ref="HC38:HM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8:Z38"/>
    <mergeCell ref="AC38:AM38"/>
    <mergeCell ref="AP38:AZ38"/>
    <mergeCell ref="BP39:BZ39"/>
    <mergeCell ref="CC39:CM39"/>
    <mergeCell ref="IP31:IV31"/>
    <mergeCell ref="HC31:HM31"/>
    <mergeCell ref="EC32:EM32"/>
    <mergeCell ref="EP32:EZ32"/>
    <mergeCell ref="FC32:FM32"/>
    <mergeCell ref="AC32:AM32"/>
    <mergeCell ref="AP32:AZ32"/>
    <mergeCell ref="BP32:BZ32"/>
    <mergeCell ref="FC30:FM30"/>
    <mergeCell ref="FP30:FZ30"/>
    <mergeCell ref="FC31:FM31"/>
    <mergeCell ref="FP31:FZ31"/>
    <mergeCell ref="GC31:GM31"/>
    <mergeCell ref="GP31:GZ31"/>
    <mergeCell ref="IC32:IM32"/>
    <mergeCell ref="IP32:IV32"/>
    <mergeCell ref="HC32:HM32"/>
    <mergeCell ref="HP32:HZ32"/>
    <mergeCell ref="FP32:FZ32"/>
    <mergeCell ref="HP31:HZ31"/>
    <mergeCell ref="GC32:GM32"/>
    <mergeCell ref="HC30:HM30"/>
    <mergeCell ref="DC31:DM31"/>
    <mergeCell ref="DP31:DZ31"/>
    <mergeCell ref="EC31:EM31"/>
    <mergeCell ref="EP31:EZ31"/>
    <mergeCell ref="GP32:GZ32"/>
    <mergeCell ref="EC30:EM30"/>
    <mergeCell ref="EP30:EZ30"/>
    <mergeCell ref="EP38:EZ38"/>
    <mergeCell ref="FC38:FM38"/>
    <mergeCell ref="FP38:FZ38"/>
    <mergeCell ref="GC38:GM38"/>
    <mergeCell ref="GP38:GZ38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IP29:IV29"/>
    <mergeCell ref="IP30:IV30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CP32:CZ32"/>
    <mergeCell ref="CP30:CZ30"/>
    <mergeCell ref="C39:M39"/>
    <mergeCell ref="C40:M40"/>
    <mergeCell ref="C34:M34"/>
    <mergeCell ref="C35:M35"/>
    <mergeCell ref="C36:M36"/>
    <mergeCell ref="C38:M38"/>
    <mergeCell ref="AP40:AZ40"/>
    <mergeCell ref="BC31:BM31"/>
    <mergeCell ref="BC32:BM32"/>
    <mergeCell ref="BC39:BM39"/>
    <mergeCell ref="BP31:BZ31"/>
    <mergeCell ref="CC31:CM31"/>
    <mergeCell ref="CP31:CZ31"/>
    <mergeCell ref="EC29:EM29"/>
    <mergeCell ref="EP29:EZ29"/>
    <mergeCell ref="FC29:FM29"/>
    <mergeCell ref="CP29:CZ29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2014-10-10T12:07:48Z</cp:lastPrinted>
  <dcterms:created xsi:type="dcterms:W3CDTF">1997-12-04T19:04:30Z</dcterms:created>
  <dcterms:modified xsi:type="dcterms:W3CDTF">2014-12-05T16:24:55Z</dcterms:modified>
</cp:coreProperties>
</file>