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9" i="12" l="1"/>
  <c r="C12" i="12"/>
  <c r="B12" i="12"/>
  <c r="B10" i="12" l="1"/>
  <c r="H604" i="1"/>
  <c r="J604" i="1"/>
  <c r="I604" i="1"/>
  <c r="G234" i="1"/>
  <c r="G233" i="1"/>
  <c r="G216" i="1"/>
  <c r="G215" i="1"/>
  <c r="G198" i="1"/>
  <c r="G197" i="1"/>
  <c r="J245" i="1"/>
  <c r="I245" i="1"/>
  <c r="H245" i="1"/>
  <c r="J227" i="1"/>
  <c r="I227" i="1"/>
  <c r="H227" i="1"/>
  <c r="J209" i="1"/>
  <c r="I209" i="1"/>
  <c r="H209" i="1"/>
  <c r="F220" i="1"/>
  <c r="H244" i="1"/>
  <c r="I591" i="1"/>
  <c r="H592" i="1"/>
  <c r="J243" i="1" l="1"/>
  <c r="I243" i="1"/>
  <c r="H243" i="1"/>
  <c r="G243" i="1"/>
  <c r="F243" i="1"/>
  <c r="I239" i="1"/>
  <c r="H239" i="1"/>
  <c r="G239" i="1"/>
  <c r="F239" i="1"/>
  <c r="J238" i="1"/>
  <c r="I238" i="1"/>
  <c r="H238" i="1"/>
  <c r="G238" i="1"/>
  <c r="F238" i="1"/>
  <c r="I234" i="1"/>
  <c r="H234" i="1"/>
  <c r="F234" i="1"/>
  <c r="I233" i="1"/>
  <c r="F233" i="1"/>
  <c r="H226" i="1"/>
  <c r="J225" i="1"/>
  <c r="I225" i="1"/>
  <c r="H225" i="1"/>
  <c r="G225" i="1"/>
  <c r="F225" i="1"/>
  <c r="I221" i="1"/>
  <c r="H221" i="1"/>
  <c r="G221" i="1"/>
  <c r="F221" i="1"/>
  <c r="I220" i="1"/>
  <c r="H220" i="1"/>
  <c r="G220" i="1"/>
  <c r="I216" i="1"/>
  <c r="H216" i="1"/>
  <c r="F216" i="1"/>
  <c r="I215" i="1"/>
  <c r="F215" i="1"/>
  <c r="I207" i="1"/>
  <c r="H207" i="1"/>
  <c r="G207" i="1"/>
  <c r="F207" i="1"/>
  <c r="I203" i="1"/>
  <c r="H203" i="1"/>
  <c r="G203" i="1"/>
  <c r="F203" i="1"/>
  <c r="J202" i="1"/>
  <c r="I202" i="1"/>
  <c r="H202" i="1"/>
  <c r="G202" i="1"/>
  <c r="F202" i="1"/>
  <c r="K198" i="1"/>
  <c r="I198" i="1"/>
  <c r="H198" i="1"/>
  <c r="F198" i="1"/>
  <c r="I197" i="1"/>
  <c r="F197" i="1"/>
  <c r="K526" i="1" l="1"/>
  <c r="K527" i="1"/>
  <c r="K528" i="1"/>
  <c r="G523" i="1"/>
  <c r="G522" i="1"/>
  <c r="G521" i="1"/>
  <c r="F523" i="1"/>
  <c r="F522" i="1"/>
  <c r="F521" i="1"/>
  <c r="F498" i="1" l="1"/>
  <c r="G367" i="1"/>
  <c r="F367" i="1"/>
  <c r="H367" i="1"/>
  <c r="I360" i="1"/>
  <c r="I359" i="1"/>
  <c r="I358" i="1"/>
  <c r="H359" i="1"/>
  <c r="G358" i="1"/>
  <c r="G360" i="1"/>
  <c r="F360" i="1"/>
  <c r="K360" i="1"/>
  <c r="K359" i="1"/>
  <c r="K358" i="1"/>
  <c r="H360" i="1"/>
  <c r="H358" i="1"/>
  <c r="G359" i="1"/>
  <c r="F359" i="1"/>
  <c r="F358" i="1"/>
  <c r="F295" i="1"/>
  <c r="H152" i="1"/>
  <c r="I277" i="1"/>
  <c r="H277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C111" i="2" s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G649" i="1" s="1"/>
  <c r="L226" i="1"/>
  <c r="G650" i="1" s="1"/>
  <c r="L244" i="1"/>
  <c r="F17" i="13"/>
  <c r="G17" i="13"/>
  <c r="D17" i="13" s="1"/>
  <c r="C17" i="13" s="1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L341" i="1"/>
  <c r="L342" i="1"/>
  <c r="E132" i="2" s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A40" i="12" s="1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G62" i="2" s="1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E56" i="2" s="1"/>
  <c r="I60" i="1"/>
  <c r="F56" i="2" s="1"/>
  <c r="F79" i="1"/>
  <c r="C57" i="2" s="1"/>
  <c r="F94" i="1"/>
  <c r="F111" i="1"/>
  <c r="G111" i="1"/>
  <c r="G112" i="1" s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F169" i="1" s="1"/>
  <c r="G147" i="1"/>
  <c r="G162" i="1"/>
  <c r="H147" i="1"/>
  <c r="H162" i="1"/>
  <c r="I147" i="1"/>
  <c r="I162" i="1"/>
  <c r="C13" i="10"/>
  <c r="L250" i="1"/>
  <c r="C113" i="2" s="1"/>
  <c r="L332" i="1"/>
  <c r="E113" i="2" s="1"/>
  <c r="L254" i="1"/>
  <c r="L268" i="1"/>
  <c r="L269" i="1"/>
  <c r="C143" i="2" s="1"/>
  <c r="L349" i="1"/>
  <c r="L350" i="1"/>
  <c r="I665" i="1"/>
  <c r="I670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D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E112" i="2"/>
  <c r="D115" i="2"/>
  <c r="F115" i="2"/>
  <c r="G115" i="2"/>
  <c r="E120" i="2"/>
  <c r="E123" i="2"/>
  <c r="F128" i="2"/>
  <c r="G128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F177" i="1"/>
  <c r="I177" i="1"/>
  <c r="F183" i="1"/>
  <c r="G183" i="1"/>
  <c r="H183" i="1"/>
  <c r="I183" i="1"/>
  <c r="J183" i="1"/>
  <c r="J192" i="1" s="1"/>
  <c r="F188" i="1"/>
  <c r="G188" i="1"/>
  <c r="H188" i="1"/>
  <c r="H192" i="1" s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G642" i="1" s="1"/>
  <c r="F452" i="1"/>
  <c r="G452" i="1"/>
  <c r="H452" i="1"/>
  <c r="I452" i="1"/>
  <c r="F460" i="1"/>
  <c r="G460" i="1"/>
  <c r="H460" i="1"/>
  <c r="F461" i="1"/>
  <c r="G461" i="1"/>
  <c r="H640" i="1" s="1"/>
  <c r="H461" i="1"/>
  <c r="F470" i="1"/>
  <c r="G470" i="1"/>
  <c r="G476" i="1" s="1"/>
  <c r="H623" i="1" s="1"/>
  <c r="H470" i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G624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1" i="1"/>
  <c r="J641" i="1" s="1"/>
  <c r="H641" i="1"/>
  <c r="G643" i="1"/>
  <c r="H643" i="1"/>
  <c r="J643" i="1" s="1"/>
  <c r="G644" i="1"/>
  <c r="G645" i="1"/>
  <c r="G651" i="1"/>
  <c r="G652" i="1"/>
  <c r="H652" i="1"/>
  <c r="G653" i="1"/>
  <c r="H653" i="1"/>
  <c r="G654" i="1"/>
  <c r="H654" i="1"/>
  <c r="H655" i="1"/>
  <c r="F192" i="1"/>
  <c r="D91" i="2"/>
  <c r="H112" i="1"/>
  <c r="J639" i="1"/>
  <c r="J571" i="1"/>
  <c r="I169" i="1"/>
  <c r="I476" i="1"/>
  <c r="H625" i="1" s="1"/>
  <c r="J140" i="1"/>
  <c r="G22" i="2"/>
  <c r="H140" i="1"/>
  <c r="H571" i="1"/>
  <c r="C35" i="10"/>
  <c r="L614" i="1" l="1"/>
  <c r="F571" i="1"/>
  <c r="A13" i="12"/>
  <c r="J651" i="1"/>
  <c r="I460" i="1"/>
  <c r="I461" i="1" s="1"/>
  <c r="H642" i="1" s="1"/>
  <c r="J645" i="1"/>
  <c r="F78" i="2"/>
  <c r="L351" i="1"/>
  <c r="F130" i="2"/>
  <c r="F144" i="2" s="1"/>
  <c r="F145" i="2" s="1"/>
  <c r="E62" i="2"/>
  <c r="E63" i="2" s="1"/>
  <c r="C25" i="10"/>
  <c r="E114" i="2"/>
  <c r="E122" i="2"/>
  <c r="J649" i="1"/>
  <c r="C12" i="10"/>
  <c r="C19" i="10"/>
  <c r="C120" i="2"/>
  <c r="K605" i="1"/>
  <c r="G648" i="1" s="1"/>
  <c r="I571" i="1"/>
  <c r="L270" i="1"/>
  <c r="H169" i="1"/>
  <c r="L393" i="1"/>
  <c r="C138" i="2" s="1"/>
  <c r="A31" i="12"/>
  <c r="E125" i="2"/>
  <c r="E121" i="2"/>
  <c r="D19" i="13"/>
  <c r="C19" i="13" s="1"/>
  <c r="J655" i="1"/>
  <c r="L565" i="1"/>
  <c r="L256" i="1"/>
  <c r="E78" i="2"/>
  <c r="E124" i="2"/>
  <c r="H662" i="1"/>
  <c r="K598" i="1"/>
  <c r="G647" i="1" s="1"/>
  <c r="K571" i="1"/>
  <c r="L433" i="1"/>
  <c r="L427" i="1"/>
  <c r="L419" i="1"/>
  <c r="G192" i="1"/>
  <c r="E8" i="13"/>
  <c r="C8" i="13" s="1"/>
  <c r="G157" i="2"/>
  <c r="D81" i="2"/>
  <c r="C70" i="2"/>
  <c r="D31" i="2"/>
  <c r="I552" i="1"/>
  <c r="H552" i="1"/>
  <c r="I545" i="1"/>
  <c r="J644" i="1"/>
  <c r="G164" i="2"/>
  <c r="C91" i="2"/>
  <c r="F18" i="2"/>
  <c r="H25" i="13"/>
  <c r="C29" i="10"/>
  <c r="L539" i="1"/>
  <c r="L382" i="1"/>
  <c r="G636" i="1" s="1"/>
  <c r="J636" i="1" s="1"/>
  <c r="E103" i="2"/>
  <c r="F81" i="2"/>
  <c r="D18" i="2"/>
  <c r="F22" i="13"/>
  <c r="C22" i="13" s="1"/>
  <c r="C26" i="10"/>
  <c r="K503" i="1"/>
  <c r="I52" i="1"/>
  <c r="H620" i="1" s="1"/>
  <c r="C122" i="2"/>
  <c r="L401" i="1"/>
  <c r="C139" i="2" s="1"/>
  <c r="D18" i="13"/>
  <c r="C18" i="13" s="1"/>
  <c r="G625" i="1"/>
  <c r="J625" i="1" s="1"/>
  <c r="C132" i="2"/>
  <c r="C114" i="2"/>
  <c r="G156" i="2"/>
  <c r="E81" i="2"/>
  <c r="C78" i="2"/>
  <c r="C81" i="2" s="1"/>
  <c r="E13" i="13"/>
  <c r="C13" i="13" s="1"/>
  <c r="D50" i="2"/>
  <c r="D51" i="2" s="1"/>
  <c r="L534" i="1"/>
  <c r="G161" i="2"/>
  <c r="K545" i="1"/>
  <c r="G545" i="1"/>
  <c r="J545" i="1"/>
  <c r="L529" i="1"/>
  <c r="G552" i="1"/>
  <c r="H545" i="1"/>
  <c r="L570" i="1"/>
  <c r="L571" i="1" s="1"/>
  <c r="K550" i="1"/>
  <c r="K551" i="1"/>
  <c r="J552" i="1"/>
  <c r="K549" i="1"/>
  <c r="L544" i="1"/>
  <c r="L524" i="1"/>
  <c r="F552" i="1"/>
  <c r="K500" i="1"/>
  <c r="I369" i="1"/>
  <c r="H634" i="1" s="1"/>
  <c r="J634" i="1" s="1"/>
  <c r="F476" i="1"/>
  <c r="H622" i="1" s="1"/>
  <c r="J622" i="1" s="1"/>
  <c r="H476" i="1"/>
  <c r="H624" i="1" s="1"/>
  <c r="J624" i="1" s="1"/>
  <c r="J640" i="1"/>
  <c r="G661" i="1"/>
  <c r="D29" i="13"/>
  <c r="C29" i="13" s="1"/>
  <c r="D127" i="2"/>
  <c r="D128" i="2" s="1"/>
  <c r="D145" i="2" s="1"/>
  <c r="H661" i="1"/>
  <c r="F661" i="1"/>
  <c r="L362" i="1"/>
  <c r="G635" i="1" s="1"/>
  <c r="J635" i="1" s="1"/>
  <c r="J338" i="1"/>
  <c r="J352" i="1" s="1"/>
  <c r="H338" i="1"/>
  <c r="H352" i="1" s="1"/>
  <c r="L328" i="1"/>
  <c r="K338" i="1"/>
  <c r="K352" i="1" s="1"/>
  <c r="E119" i="2"/>
  <c r="E118" i="2"/>
  <c r="L309" i="1"/>
  <c r="G338" i="1"/>
  <c r="G352" i="1" s="1"/>
  <c r="C16" i="10"/>
  <c r="C11" i="10"/>
  <c r="E109" i="2"/>
  <c r="E115" i="2" s="1"/>
  <c r="F338" i="1"/>
  <c r="F352" i="1" s="1"/>
  <c r="L290" i="1"/>
  <c r="C119" i="2"/>
  <c r="L247" i="1"/>
  <c r="H660" i="1" s="1"/>
  <c r="C112" i="2"/>
  <c r="C17" i="10"/>
  <c r="C21" i="10"/>
  <c r="C20" i="10"/>
  <c r="D12" i="13"/>
  <c r="C12" i="13" s="1"/>
  <c r="D7" i="13"/>
  <c r="C7" i="13" s="1"/>
  <c r="C15" i="10"/>
  <c r="K257" i="1"/>
  <c r="K271" i="1" s="1"/>
  <c r="L229" i="1"/>
  <c r="J257" i="1"/>
  <c r="J271" i="1" s="1"/>
  <c r="I257" i="1"/>
  <c r="I271" i="1" s="1"/>
  <c r="C110" i="2"/>
  <c r="H257" i="1"/>
  <c r="H271" i="1" s="1"/>
  <c r="G257" i="1"/>
  <c r="G271" i="1" s="1"/>
  <c r="F257" i="1"/>
  <c r="F271" i="1" s="1"/>
  <c r="E16" i="13"/>
  <c r="C125" i="2"/>
  <c r="H647" i="1"/>
  <c r="D15" i="13"/>
  <c r="C15" i="13" s="1"/>
  <c r="C124" i="2"/>
  <c r="F662" i="1"/>
  <c r="D14" i="13"/>
  <c r="C14" i="13" s="1"/>
  <c r="C123" i="2"/>
  <c r="C121" i="2"/>
  <c r="C18" i="10"/>
  <c r="C118" i="2"/>
  <c r="D6" i="13"/>
  <c r="C6" i="13" s="1"/>
  <c r="L211" i="1"/>
  <c r="D62" i="2"/>
  <c r="D63" i="2" s="1"/>
  <c r="H52" i="1"/>
  <c r="H619" i="1" s="1"/>
  <c r="J619" i="1" s="1"/>
  <c r="E31" i="2"/>
  <c r="D5" i="13"/>
  <c r="C5" i="13" s="1"/>
  <c r="C10" i="10"/>
  <c r="C109" i="2"/>
  <c r="F112" i="1"/>
  <c r="C36" i="10" s="1"/>
  <c r="C62" i="2"/>
  <c r="C63" i="2" s="1"/>
  <c r="J623" i="1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I192" i="1"/>
  <c r="E91" i="2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C39" i="10" s="1"/>
  <c r="G140" i="1"/>
  <c r="F140" i="1"/>
  <c r="G63" i="2"/>
  <c r="J618" i="1"/>
  <c r="G42" i="2"/>
  <c r="G50" i="2" s="1"/>
  <c r="J51" i="1"/>
  <c r="G16" i="2"/>
  <c r="G18" i="2" s="1"/>
  <c r="J19" i="1"/>
  <c r="G621" i="1" s="1"/>
  <c r="F545" i="1"/>
  <c r="H434" i="1"/>
  <c r="J620" i="1"/>
  <c r="D103" i="2"/>
  <c r="I140" i="1"/>
  <c r="A22" i="12"/>
  <c r="J652" i="1"/>
  <c r="J642" i="1"/>
  <c r="G571" i="1"/>
  <c r="I434" i="1"/>
  <c r="G434" i="1"/>
  <c r="I663" i="1"/>
  <c r="J647" i="1" l="1"/>
  <c r="C144" i="2"/>
  <c r="I662" i="1"/>
  <c r="G104" i="2"/>
  <c r="C25" i="13"/>
  <c r="H33" i="13"/>
  <c r="I193" i="1"/>
  <c r="G630" i="1" s="1"/>
  <c r="J630" i="1" s="1"/>
  <c r="L408" i="1"/>
  <c r="G637" i="1" s="1"/>
  <c r="J637" i="1" s="1"/>
  <c r="D104" i="2"/>
  <c r="F33" i="13"/>
  <c r="E104" i="2"/>
  <c r="E33" i="13"/>
  <c r="D35" i="13" s="1"/>
  <c r="G51" i="2"/>
  <c r="F104" i="2"/>
  <c r="K552" i="1"/>
  <c r="L545" i="1"/>
  <c r="H646" i="1"/>
  <c r="J646" i="1" s="1"/>
  <c r="H664" i="1"/>
  <c r="H667" i="1" s="1"/>
  <c r="I661" i="1"/>
  <c r="C27" i="10"/>
  <c r="C28" i="10" s="1"/>
  <c r="D19" i="10" s="1"/>
  <c r="E128" i="2"/>
  <c r="E145" i="2" s="1"/>
  <c r="L338" i="1"/>
  <c r="L352" i="1" s="1"/>
  <c r="G633" i="1" s="1"/>
  <c r="J633" i="1" s="1"/>
  <c r="G660" i="1"/>
  <c r="G664" i="1" s="1"/>
  <c r="G672" i="1" s="1"/>
  <c r="C5" i="10" s="1"/>
  <c r="D31" i="13"/>
  <c r="C31" i="13" s="1"/>
  <c r="C16" i="13"/>
  <c r="C115" i="2"/>
  <c r="H648" i="1"/>
  <c r="J648" i="1" s="1"/>
  <c r="L257" i="1"/>
  <c r="L271" i="1" s="1"/>
  <c r="G632" i="1" s="1"/>
  <c r="J632" i="1" s="1"/>
  <c r="C128" i="2"/>
  <c r="F660" i="1"/>
  <c r="F664" i="1" s="1"/>
  <c r="F672" i="1" s="1"/>
  <c r="C4" i="10" s="1"/>
  <c r="E51" i="2"/>
  <c r="C104" i="2"/>
  <c r="F193" i="1"/>
  <c r="G627" i="1" s="1"/>
  <c r="J627" i="1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72" i="1" l="1"/>
  <c r="C6" i="10" s="1"/>
  <c r="G667" i="1"/>
  <c r="D33" i="13"/>
  <c r="D36" i="13" s="1"/>
  <c r="C145" i="2"/>
  <c r="I660" i="1"/>
  <c r="I664" i="1" s="1"/>
  <c r="I672" i="1" s="1"/>
  <c r="C7" i="10" s="1"/>
  <c r="F667" i="1"/>
  <c r="D25" i="10"/>
  <c r="D16" i="10"/>
  <c r="D20" i="10"/>
  <c r="D26" i="10"/>
  <c r="D22" i="10"/>
  <c r="D15" i="10"/>
  <c r="D10" i="10"/>
  <c r="C30" i="10"/>
  <c r="D13" i="10"/>
  <c r="D11" i="10"/>
  <c r="D21" i="10"/>
  <c r="D24" i="10"/>
  <c r="D27" i="10"/>
  <c r="D18" i="10"/>
  <c r="D17" i="10"/>
  <c r="D12" i="10"/>
  <c r="D23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<sst xmlns="http://schemas.openxmlformats.org/spreadsheetml/2006/main" count="3958" uniqueCount="916">
  <si>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</si>
  <si>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</si>
  <si>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</si>
  <si>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</si>
  <si>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</si>
  <si>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</si>
  <si>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</si>
  <si>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</si>
  <si>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</si>
  <si>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</si>
  <si>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</si>
  <si>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</si>
  <si>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</si>
  <si>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</si>
  <si>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</si>
  <si>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</si>
  <si>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</si>
  <si>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</si>
  <si>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</si>
  <si>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</si>
  <si>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</si>
  <si>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</si>
  <si>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</si>
  <si>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</si>
  <si>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</si>
  <si>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</si>
  <si>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</si>
  <si>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</si>
  <si>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</si>
  <si>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</si>
  <si>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</si>
  <si>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</si>
  <si>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</si>
  <si>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</si>
  <si>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</si>
  <si>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</si>
  <si>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</si>
  <si>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</si>
  <si>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</si>
  <si>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</si>
  <si>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</si>
  <si>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</si>
  <si>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</si>
  <si>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</si>
  <si>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</si>
  <si>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</si>
  <si>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</si>
  <si>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</si>
  <si>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</si>
  <si>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</si>
  <si>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</si>
  <si>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</si>
  <si>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</si>
  <si>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</si>
  <si>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</si>
  <si>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</si>
  <si>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</si>
  <si>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</si>
  <si>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</si>
  <si>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</si>
  <si>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</si>
  <si>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</si>
  <si>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</si>
  <si>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</si>
  <si>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</si>
  <si>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</si>
  <si>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</si>
  <si>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</si>
  <si>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</si>
  <si>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</si>
  <si>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</si>
  <si>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</si>
  <si>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</si>
  <si>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</si>
  <si>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</si>
  <si>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</si>
  <si>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</si>
  <si>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</si>
  <si>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</si>
  <si>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</si>
  <si>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</si>
  <si>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</si>
  <si>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</si>
  <si>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</si>
  <si>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</si>
  <si>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</si>
  <si>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</si>
  <si>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</si>
  <si>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</si>
  <si>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</si>
  <si>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</si>
  <si>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</si>
  <si>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</si>
  <si>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</si>
  <si>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</si>
  <si>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</si>
  <si>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</si>
  <si>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</si>
  <si>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</si>
  <si>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</si>
  <si>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</si>
  <si>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</si>
  <si>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</si>
  <si>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</si>
  <si>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</si>
  <si>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</si>
  <si>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</si>
  <si>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</si>
  <si>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</si>
  <si>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</si>
  <si>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</si>
  <si>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</si>
  <si>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</si>
  <si>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</si>
  <si>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</si>
  <si>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</si>
  <si>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</si>
  <si>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</si>
  <si>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</si>
  <si>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</si>
  <si>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</si>
  <si>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</si>
  <si>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</si>
  <si>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</si>
  <si>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</si>
  <si>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</si>
  <si>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</si>
  <si>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</si>
  <si>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</si>
  <si>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</si>
  <si>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</si>
  <si>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</si>
  <si>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</si>
  <si>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</si>
  <si>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</si>
  <si>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</si>
  <si>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</si>
  <si>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</si>
  <si>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</si>
  <si>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</si>
  <si>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</si>
  <si>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</si>
  <si>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</si>
  <si>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</si>
  <si>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</si>
  <si>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</si>
  <si>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</si>
  <si>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</si>
  <si>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</si>
  <si>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</si>
  <si>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</si>
  <si>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</si>
  <si>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</si>
  <si>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</si>
  <si>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</si>
  <si>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</si>
  <si>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</si>
  <si>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</si>
  <si>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</si>
  <si>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</si>
  <si>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</si>
  <si>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</si>
  <si>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</si>
  <si>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</si>
  <si>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</si>
  <si>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</si>
  <si>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</si>
  <si>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</si>
  <si>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</si>
  <si>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</si>
  <si>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</si>
  <si>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</si>
  <si>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</si>
  <si>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</si>
  <si>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</si>
  <si>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</si>
  <si>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</si>
  <si>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</si>
  <si>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</si>
  <si>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</si>
  <si>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</si>
  <si>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</si>
  <si>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</si>
  <si>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</si>
  <si>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</si>
  <si>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</si>
  <si>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</si>
  <si>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</si>
  <si>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</si>
  <si>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</si>
  <si>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</si>
  <si>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</si>
  <si>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</si>
  <si>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</si>
  <si>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</si>
  <si>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</si>
  <si>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</si>
  <si>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</si>
  <si>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</si>
  <si>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</si>
  <si>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</si>
  <si>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</si>
  <si>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</si>
  <si>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</si>
  <si>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</si>
  <si>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</si>
  <si>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</si>
  <si>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</si>
  <si>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</si>
  <si>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</si>
  <si>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</si>
  <si>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</si>
  <si>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</si>
  <si>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</si>
  <si>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</si>
  <si>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</si>
  <si>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</si>
  <si>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</si>
  <si>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</si>
  <si>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</si>
  <si>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</si>
  <si>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</si>
  <si>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</si>
  <si>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</si>
  <si>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</si>
  <si>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</si>
  <si>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</si>
  <si>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</si>
  <si>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</si>
  <si>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</si>
  <si>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</si>
  <si>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</si>
  <si>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</si>
  <si>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</si>
  <si>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</si>
  <si>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</si>
  <si>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</si>
  <si>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</si>
  <si>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</si>
  <si>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</si>
  <si>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</si>
  <si>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</si>
  <si>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</si>
  <si>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</si>
  <si>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</si>
  <si>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</si>
  <si>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</si>
  <si>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</si>
  <si>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</si>
  <si>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</si>
  <si>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</si>
  <si>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</si>
  <si>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</si>
  <si>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</si>
  <si>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</si>
  <si>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</si>
  <si>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</si>
  <si>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</si>
  <si>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</si>
  <si>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</si>
  <si>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</si>
  <si>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</si>
  <si>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</si>
  <si>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</si>
  <si>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</si>
  <si>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</si>
  <si>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</si>
  <si>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</si>
  <si>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</si>
  <si>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</si>
  <si>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</si>
  <si>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</si>
  <si>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</si>
  <si>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</si>
  <si>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</si>
  <si>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</si>
  <si>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</si>
  <si>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</si>
  <si>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</si>
  <si>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</si>
  <si>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</si>
  <si>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</si>
  <si>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</si>
  <si>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</si>
  <si>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</si>
  <si>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</si>
  <si>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</si>
  <si>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</si>
  <si>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</si>
  <si>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</si>
  <si>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</si>
  <si>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</si>
  <si>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</si>
  <si>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</si>
  <si>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</si>
  <si>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</si>
  <si>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</si>
  <si>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</si>
  <si>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</si>
  <si>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</si>
  <si>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</si>
  <si>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</si>
  <si>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</si>
  <si>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</si>
  <si>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</si>
  <si>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</si>
  <si>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</si>
  <si>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</si>
  <si>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</si>
  <si>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</si>
  <si>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</si>
  <si>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</si>
  <si>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</si>
  <si>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</si>
  <si>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</si>
  <si>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</si>
  <si>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</si>
  <si>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</si>
  <si>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</si>
  <si>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</si>
  <si>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</si>
  <si>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</si>
  <si>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</si>
  <si>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</si>
  <si>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</si>
  <si>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</si>
  <si>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</si>
  <si>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</si>
  <si>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</si>
  <si>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</si>
  <si>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</si>
  <si>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</si>
  <si>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</si>
  <si>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</si>
  <si>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</si>
  <si>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</si>
  <si>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</si>
  <si>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</si>
  <si>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</si>
  <si>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</si>
  <si>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</si>
  <si>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</si>
  <si>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</si>
  <si>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</si>
  <si>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</si>
  <si>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</si>
  <si>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</si>
  <si>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</si>
  <si>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</si>
  <si>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</si>
  <si>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</si>
  <si>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</si>
  <si>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</si>
  <si>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</si>
  <si>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</si>
  <si>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</si>
  <si>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</si>
  <si>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</si>
  <si>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</si>
  <si>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</si>
  <si>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</si>
  <si>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</si>
  <si>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</si>
  <si>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</si>
  <si>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</si>
  <si>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</si>
  <si>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</si>
  <si>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</si>
  <si>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</si>
  <si>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</si>
  <si>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</si>
  <si>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</si>
  <si>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</si>
  <si>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</si>
  <si>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</si>
  <si>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</si>
  <si>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</si>
  <si>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</si>
  <si>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</si>
  <si>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</si>
  <si>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</si>
  <si>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</si>
  <si>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</si>
  <si>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</si>
  <si>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</si>
  <si>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</si>
  <si>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</si>
  <si>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</si>
  <si>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</si>
  <si>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</si>
  <si>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</si>
  <si>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</si>
  <si>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</si>
  <si>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</si>
  <si>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</si>
  <si>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</si>
  <si>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</si>
  <si>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</si>
  <si>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</si>
  <si>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</si>
  <si>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</si>
  <si>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</si>
  <si>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</si>
  <si>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</si>
  <si>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</si>
  <si>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</si>
  <si>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</si>
  <si>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</si>
  <si>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</si>
  <si>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</si>
  <si>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</si>
  <si>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</si>
  <si>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</si>
  <si>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</si>
  <si>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</si>
  <si>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</si>
  <si>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</si>
  <si>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</si>
  <si>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</si>
  <si>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</si>
  <si>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</si>
  <si>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</si>
  <si>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</si>
  <si>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</si>
  <si>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</si>
  <si>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</si>
  <si>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</si>
  <si>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</si>
  <si>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</si>
  <si>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</si>
  <si>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</si>
  <si>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</si>
  <si>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</si>
  <si>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</si>
  <si>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</si>
  <si>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</si>
  <si>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</si>
  <si>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</si>
  <si>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</si>
  <si>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</si>
  <si>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</si>
  <si>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</si>
  <si>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</si>
  <si>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</si>
  <si>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</si>
  <si>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</si>
  <si>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</si>
  <si>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</si>
  <si>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</si>
  <si>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</si>
  <si>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</si>
  <si>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</si>
  <si>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</si>
  <si>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</si>
  <si>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</si>
  <si>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</si>
  <si>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</si>
  <si>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</si>
  <si>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</si>
  <si>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</si>
  <si>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</si>
  <si>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</si>
  <si>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</si>
  <si>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</si>
  <si>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</si>
  <si>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</si>
  <si>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</si>
  <si>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</si>
  <si>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</si>
  <si>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</si>
  <si>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</si>
  <si>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</si>
  <si>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</si>
  <si>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</si>
  <si>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</si>
  <si>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</si>
  <si>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</si>
  <si>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</si>
  <si>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</si>
  <si>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</si>
  <si>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</si>
  <si>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</si>
  <si>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</si>
  <si>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</si>
  <si>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</si>
  <si>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</si>
  <si>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</si>
  <si>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</si>
  <si>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</si>
  <si>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</si>
  <si>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</si>
  <si>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</si>
  <si>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</si>
  <si>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</si>
  <si>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</si>
  <si>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</si>
  <si>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</si>
  <si>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</si>
  <si>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</si>
  <si>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</si>
  <si>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</si>
  <si>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</si>
  <si>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</si>
  <si>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</si>
  <si>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</si>
  <si>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</si>
  <si>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</si>
  <si>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</si>
  <si>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</si>
  <si>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</si>
  <si>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</si>
  <si>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</si>
  <si>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</si>
  <si>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</si>
  <si>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</si>
  <si>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</si>
  <si>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</si>
  <si>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</si>
  <si>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</si>
  <si>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</si>
  <si>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</si>
  <si>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</si>
  <si>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</si>
  <si>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</si>
  <si>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</si>
  <si>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</si>
  <si>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</si>
  <si>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</si>
  <si>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</si>
  <si>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</si>
  <si>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</si>
  <si>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</si>
  <si>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</si>
  <si>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</si>
  <si>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</si>
  <si>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</si>
  <si>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</si>
  <si>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</si>
  <si>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</si>
  <si>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</si>
  <si>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</si>
  <si>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</si>
  <si>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</si>
  <si>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</si>
  <si>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</si>
  <si>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</si>
  <si>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</si>
  <si>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</si>
  <si>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</si>
  <si>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</si>
  <si>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</si>
  <si>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</si>
  <si>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</si>
  <si>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</si>
  <si>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</si>
  <si>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</si>
  <si>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</si>
  <si>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</si>
  <si>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</si>
  <si>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</si>
  <si>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</si>
  <si>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</si>
  <si>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</si>
  <si>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</si>
  <si>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</si>
  <si>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</si>
  <si>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</si>
  <si>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</si>
  <si>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</si>
  <si>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</si>
  <si>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</si>
  <si>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</si>
  <si>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</si>
  <si>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</si>
  <si>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</si>
  <si>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</si>
  <si>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</si>
  <si>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</si>
  <si>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</si>
  <si>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</si>
  <si>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</si>
  <si>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</si>
  <si>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</si>
  <si>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</si>
  <si>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</si>
  <si>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</si>
  <si>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</si>
  <si>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</si>
  <si>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</si>
  <si>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</si>
  <si>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</si>
  <si>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</si>
  <si>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</si>
  <si>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</si>
  <si>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</si>
  <si>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</si>
  <si>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</si>
  <si>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</si>
  <si>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</si>
  <si>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</si>
  <si>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</si>
  <si>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</si>
  <si>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</si>
  <si>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</si>
  <si>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</si>
  <si>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</si>
  <si>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</si>
  <si>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</si>
  <si>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</si>
  <si>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</si>
  <si>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</si>
  <si>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</si>
  <si>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</si>
  <si>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</si>
  <si>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</si>
  <si>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</si>
  <si>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</si>
  <si>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</si>
  <si>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</si>
  <si>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</si>
  <si>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</si>
  <si>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</si>
  <si>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</si>
  <si>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</si>
  <si>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</si>
  <si>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</si>
  <si>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</si>
  <si>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</si>
  <si>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</si>
  <si>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</si>
  <si>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</si>
  <si>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</si>
  <si>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</si>
  <si>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</si>
  <si>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</si>
  <si>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</si>
  <si>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</si>
  <si>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</si>
  <si>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</si>
  <si>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</si>
  <si>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</si>
  <si>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</si>
  <si>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</si>
  <si>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</si>
  <si>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</si>
  <si>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</si>
  <si>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</si>
  <si>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</si>
  <si>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</si>
  <si>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</si>
  <si>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</si>
  <si>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</si>
  <si>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</si>
  <si>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</si>
  <si>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</si>
  <si>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</si>
  <si>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</si>
  <si>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</si>
  <si>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</si>
  <si>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</si>
  <si>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</si>
  <si>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</si>
  <si>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</si>
  <si>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</si>
  <si>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</si>
  <si>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</si>
  <si>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</si>
  <si>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</si>
  <si>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</si>
  <si>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</si>
  <si>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</si>
  <si>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</si>
  <si>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</si>
  <si>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</si>
  <si>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</si>
  <si>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</si>
  <si>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</si>
  <si>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</si>
  <si>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</si>
  <si>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</si>
  <si>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</si>
  <si>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</si>
  <si>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</si>
  <si>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</si>
  <si>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</si>
  <si>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</si>
  <si>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</si>
  <si>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</si>
  <si>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</si>
  <si>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</si>
  <si>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</si>
  <si>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</si>
  <si>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</si>
  <si>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</si>
  <si>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</si>
  <si>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</si>
  <si>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</si>
  <si>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</si>
  <si>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</si>
  <si>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</si>
  <si>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</si>
  <si>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</si>
  <si>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</si>
  <si>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</si>
  <si>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</si>
  <si>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</si>
  <si>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</si>
  <si>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</si>
  <si>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</si>
  <si>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</si>
  <si>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</si>
  <si>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</si>
  <si>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</si>
  <si>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</si>
  <si>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</si>
  <si>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</si>
  <si>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</si>
  <si>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</si>
  <si>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</si>
  <si>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</si>
  <si>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</si>
  <si>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</si>
  <si>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</si>
  <si>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</si>
  <si>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</si>
  <si>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</si>
  <si>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</si>
  <si>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</si>
  <si>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</si>
  <si>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</si>
  <si>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</si>
  <si>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</si>
  <si>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</si>
  <si>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</si>
  <si>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</si>
  <si>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</si>
  <si>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</si>
  <si>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</si>
  <si>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</si>
  <si>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</si>
  <si>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</si>
  <si>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</si>
  <si>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</si>
  <si>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</si>
  <si>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</si>
  <si>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</si>
  <si>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</si>
  <si>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</si>
  <si>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</si>
  <si>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</si>
  <si>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</si>
  <si>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</si>
  <si>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</si>
  <si>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</si>
  <si>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</si>
  <si>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</si>
  <si>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</si>
  <si>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</si>
  <si>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</si>
  <si>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</si>
  <si>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</si>
  <si>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</si>
  <si>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</si>
  <si>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</si>
  <si>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</si>
  <si>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</si>
  <si>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</si>
  <si>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</si>
  <si>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</si>
  <si>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</si>
  <si>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</si>
  <si>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</si>
  <si>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</si>
  <si>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</si>
  <si>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</si>
  <si>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</si>
  <si>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</si>
  <si>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</si>
  <si>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</si>
  <si>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</si>
  <si>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</si>
  <si>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</si>
  <si>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</si>
  <si>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</si>
  <si>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</si>
  <si>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</si>
  <si>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</si>
  <si>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</si>
  <si>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</si>
  <si>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</si>
  <si>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</si>
  <si>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</si>
  <si>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</si>
  <si>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</si>
  <si>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</si>
  <si>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</si>
  <si>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</si>
  <si>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</si>
  <si>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</si>
  <si>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</si>
  <si>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</si>
  <si>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</si>
  <si>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</si>
  <si>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</si>
  <si>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</si>
  <si>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</si>
  <si>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</si>
  <si>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</si>
  <si>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</si>
  <si>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</si>
  <si>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</si>
  <si>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</si>
  <si>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</si>
  <si>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</si>
  <si>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</si>
  <si>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</si>
  <si>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</si>
  <si>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</si>
  <si>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</si>
  <si>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</si>
  <si>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</si>
  <si>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</si>
  <si>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</si>
  <si>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</si>
  <si>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</si>
  <si>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</si>
  <si>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</si>
  <si>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</si>
  <si>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</si>
  <si>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</si>
  <si>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</si>
  <si>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</si>
  <si>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</si>
  <si>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</si>
  <si>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</si>
  <si>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</si>
  <si>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</si>
  <si>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</si>
  <si>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</si>
  <si>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</si>
  <si>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</si>
  <si>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</si>
  <si>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</si>
  <si>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</si>
  <si>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</si>
  <si>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</si>
  <si>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</si>
  <si>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</si>
  <si>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</si>
  <si>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</si>
  <si>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</si>
  <si>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</si>
  <si>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</si>
  <si>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</si>
  <si>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</si>
  <si>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</si>
  <si>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</si>
  <si>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</si>
  <si>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</si>
  <si>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</si>
  <si>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</si>
  <si>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</si>
  <si>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</si>
  <si>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</si>
  <si>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</si>
  <si>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</si>
  <si>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</si>
  <si>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</si>
  <si>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</si>
  <si>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</si>
  <si>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</si>
  <si>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</si>
  <si>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</si>
  <si>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</si>
  <si>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</si>
  <si>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</si>
  <si>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</si>
  <si>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</si>
  <si>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</si>
  <si>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</si>
  <si>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</si>
  <si>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</si>
  <si>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</si>
  <si>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</si>
  <si>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</si>
  <si>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</si>
  <si>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</si>
  <si>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</si>
  <si>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</si>
  <si>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</si>
  <si>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</si>
  <si>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</si>
  <si>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</si>
  <si>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</si>
  <si>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</si>
  <si>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</si>
  <si>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</si>
  <si>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</si>
  <si>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</si>
  <si>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</si>
  <si>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</si>
  <si>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</si>
  <si>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</si>
  <si>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</si>
  <si>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</si>
  <si>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</si>
  <si>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</si>
  <si>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</si>
  <si>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</si>
  <si>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</si>
  <si>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</si>
  <si>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LITCHFIELD SCHOOL DISTRICT</t>
  </si>
  <si>
    <t xml:space="preserve"> +</t>
  </si>
  <si>
    <t>08/2000</t>
  </si>
  <si>
    <t>02/2015</t>
  </si>
  <si>
    <t>Account 1990-Other Revenue LGC Refund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</si>
</sst>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" fontId="0" fillId="0" borderId="0" xfId="0" applyNumberForma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315</v>
      </c>
      <c r="C2" s="21">
        <v>315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1528688.77</v>
      </c>
      <c r="G9" s="18">
        <v>75826.12</v>
      </c>
      <c r="H9" s="18"/>
      <c r="I9" s="18"/>
      <c r="J9" s="67">
        <f>SUM(I439)</f>
        <v>104497.02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19253.07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7678.39</v>
      </c>
      <c r="G13" s="18">
        <v>5650.81</v>
      </c>
      <c r="H13" s="18">
        <v>77726.259999999995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17694.22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1573314.45</v>
      </c>
      <c r="G19" s="41">
        <f>SUM(G9:G18)</f>
        <v>81476.929999999993</v>
      </c>
      <c r="H19" s="41">
        <f>SUM(H9:H18)</f>
        <v>77726.259999999995</v>
      </c>
      <c r="I19" s="41">
        <f>SUM(I9:I18)</f>
        <v>0</v>
      </c>
      <c r="J19" s="41">
        <f>SUM(J9:J18)</f>
        <v>104497.02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19253.07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47567.88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60174.53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536852.04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10816.98</v>
      </c>
      <c r="H30" s="18">
        <v>58473.19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644594.45000000007</v>
      </c>
      <c r="G32" s="41">
        <f>SUM(G22:G31)</f>
        <v>10816.98</v>
      </c>
      <c r="H32" s="41">
        <f>SUM(H22:H31)</f>
        <v>77726.260000000009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70659.95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104497.02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140101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738619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928720</v>
      </c>
      <c r="G51" s="41">
        <f>SUM(G35:G50)</f>
        <v>70659.95</v>
      </c>
      <c r="H51" s="41">
        <f>SUM(H35:H50)</f>
        <v>0</v>
      </c>
      <c r="I51" s="41">
        <f>SUM(I35:I50)</f>
        <v>0</v>
      </c>
      <c r="J51" s="41">
        <f>SUM(J35:J50)</f>
        <v>104497.02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1573314.4500000002</v>
      </c>
      <c r="G52" s="41">
        <f>G51+G32</f>
        <v>81476.929999999993</v>
      </c>
      <c r="H52" s="41">
        <f>H51+H32</f>
        <v>77726.260000000009</v>
      </c>
      <c r="I52" s="41">
        <f>I51+I32</f>
        <v>0</v>
      </c>
      <c r="J52" s="41">
        <f>J51+J32</f>
        <v>104497.02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11033655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11033655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1489.73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77</v>
      </c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17643.599999999999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>
        <v>7755</v>
      </c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36670.980000000003</v>
      </c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63636.31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9199.76</v>
      </c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9199.76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363.14</v>
      </c>
      <c r="G96" s="18">
        <v>7.05</v>
      </c>
      <c r="H96" s="18"/>
      <c r="I96" s="18"/>
      <c r="J96" s="18">
        <v>261.10000000000002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449043.91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800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245133.43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246296.57</v>
      </c>
      <c r="G111" s="41">
        <f>SUM(G96:G110)</f>
        <v>449050.95999999996</v>
      </c>
      <c r="H111" s="41">
        <f>SUM(H96:H110)</f>
        <v>0</v>
      </c>
      <c r="I111" s="41">
        <f>SUM(I96:I110)</f>
        <v>0</v>
      </c>
      <c r="J111" s="41">
        <f>SUM(J96:J110)</f>
        <v>261.10000000000002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11352787.640000001</v>
      </c>
      <c r="G112" s="41">
        <f>G60+G111</f>
        <v>449050.95999999996</v>
      </c>
      <c r="H112" s="41">
        <f>H60+H79+H94+H111</f>
        <v>0</v>
      </c>
      <c r="I112" s="41">
        <f>I60+I111</f>
        <v>0</v>
      </c>
      <c r="J112" s="41">
        <f>J60+J111</f>
        <v>261.10000000000002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5875623.0999999996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1850157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7725780.0999999996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260786.84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275837.90000000002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5743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536624.74</v>
      </c>
      <c r="G136" s="41">
        <f>SUM(G123:G135)</f>
        <v>5743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8262404.8399999999</v>
      </c>
      <c r="G140" s="41">
        <f>G121+SUM(G136:G137)</f>
        <v>5743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>
        <f>300793.09+13165.23</f>
        <v>313958.32</v>
      </c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106248.9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31847.39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91373.38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161879.42000000001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161879.42000000001</v>
      </c>
      <c r="G162" s="41">
        <f>SUM(G150:G161)</f>
        <v>91373.38</v>
      </c>
      <c r="H162" s="41">
        <f>SUM(H150:H161)</f>
        <v>452054.61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161879.42000000001</v>
      </c>
      <c r="G169" s="41">
        <f>G147+G162+SUM(G163:G168)</f>
        <v>91373.38</v>
      </c>
      <c r="H169" s="41">
        <f>H147+H162+SUM(H163:H168)</f>
        <v>452054.61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19777071.900000002</v>
      </c>
      <c r="G193" s="47">
        <f>G112+G140+G169+G192</f>
        <v>546167.34</v>
      </c>
      <c r="H193" s="47">
        <f>H112+H140+H169+H192</f>
        <v>452054.61</v>
      </c>
      <c r="I193" s="47">
        <f>I112+I140+I169+I192</f>
        <v>0</v>
      </c>
      <c r="J193" s="47">
        <f>J112+J140+J192</f>
        <v>261.10000000000002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1542125.89+9562.07</f>
        <v>1551687.96</v>
      </c>
      <c r="G197" s="18">
        <f>695731.91+1805.47+6124.5</f>
        <v>703661.88</v>
      </c>
      <c r="H197" s="18">
        <v>23895.5</v>
      </c>
      <c r="I197" s="18">
        <f>87900.3+82.16</f>
        <v>87982.46</v>
      </c>
      <c r="J197" s="18">
        <v>1938.98</v>
      </c>
      <c r="K197" s="18">
        <v>127</v>
      </c>
      <c r="L197" s="19">
        <f>SUM(F197:K197)</f>
        <v>2369293.7799999998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616507.93+67064.63</f>
        <v>683572.56</v>
      </c>
      <c r="G198" s="18">
        <f>174178.44+17441.01+6124.5</f>
        <v>197743.95</v>
      </c>
      <c r="H198" s="18">
        <f>720+70906.89</f>
        <v>71626.89</v>
      </c>
      <c r="I198" s="18">
        <f>4283.23+68.35</f>
        <v>4351.58</v>
      </c>
      <c r="J198" s="18">
        <v>10802.45</v>
      </c>
      <c r="K198" s="18">
        <f>388.5+6675.12</f>
        <v>7063.62</v>
      </c>
      <c r="L198" s="19">
        <f>SUM(F198:K198)</f>
        <v>975161.04999999993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10402.34</v>
      </c>
      <c r="G200" s="18">
        <v>2057.46</v>
      </c>
      <c r="H200" s="18"/>
      <c r="I200" s="18">
        <v>1686.24</v>
      </c>
      <c r="J200" s="18"/>
      <c r="K200" s="18">
        <v>200</v>
      </c>
      <c r="L200" s="19">
        <f>SUM(F200:K200)</f>
        <v>14346.039999999999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130706.72+125383.45</f>
        <v>256090.16999999998</v>
      </c>
      <c r="G202" s="18">
        <f>59969.14+55317.23</f>
        <v>115286.37</v>
      </c>
      <c r="H202" s="18">
        <f>449.92+21753.27</f>
        <v>22203.19</v>
      </c>
      <c r="I202" s="18">
        <f>2750.71+6934.25</f>
        <v>9684.9599999999991</v>
      </c>
      <c r="J202" s="18">
        <f>2720.95+1103.61</f>
        <v>3824.5599999999995</v>
      </c>
      <c r="K202" s="18"/>
      <c r="L202" s="19">
        <f t="shared" ref="L202:L208" si="0">SUM(F202:K202)</f>
        <v>407089.25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65356+27616.95</f>
        <v>92972.95</v>
      </c>
      <c r="G203" s="18">
        <f>21798.54+20719.38</f>
        <v>42517.919999999998</v>
      </c>
      <c r="H203" s="18">
        <f>29307.84+7402.4</f>
        <v>36710.239999999998</v>
      </c>
      <c r="I203" s="18">
        <f>15241.03+817.6</f>
        <v>16058.630000000001</v>
      </c>
      <c r="J203" s="18">
        <v>3738.37</v>
      </c>
      <c r="K203" s="18">
        <v>288.57</v>
      </c>
      <c r="L203" s="19">
        <f t="shared" si="0"/>
        <v>192286.68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130266.57</v>
      </c>
      <c r="G204" s="18">
        <v>52843.09</v>
      </c>
      <c r="H204" s="18">
        <v>27929.02</v>
      </c>
      <c r="I204" s="18">
        <v>1325.1</v>
      </c>
      <c r="J204" s="18">
        <v>129.36000000000001</v>
      </c>
      <c r="K204" s="18">
        <v>3447.42</v>
      </c>
      <c r="L204" s="19">
        <f t="shared" si="0"/>
        <v>215940.56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230985.72</v>
      </c>
      <c r="G205" s="18">
        <v>126732.47</v>
      </c>
      <c r="H205" s="18">
        <v>3620.54</v>
      </c>
      <c r="I205" s="18">
        <v>1820.58</v>
      </c>
      <c r="J205" s="18"/>
      <c r="K205" s="18">
        <v>2488</v>
      </c>
      <c r="L205" s="19">
        <f t="shared" si="0"/>
        <v>365647.31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63129.55</v>
      </c>
      <c r="G206" s="18">
        <v>21911.72</v>
      </c>
      <c r="H206" s="18">
        <v>13940.53</v>
      </c>
      <c r="I206" s="18">
        <v>1301.55</v>
      </c>
      <c r="J206" s="18">
        <v>488.37</v>
      </c>
      <c r="K206" s="18">
        <v>735.98</v>
      </c>
      <c r="L206" s="19">
        <f t="shared" si="0"/>
        <v>101507.7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198562.76+23310.71</f>
        <v>221873.47</v>
      </c>
      <c r="G207" s="18">
        <f>92862.06+12482.6</f>
        <v>105344.66</v>
      </c>
      <c r="H207" s="18">
        <f>113325.61+18535.87</f>
        <v>131861.48000000001</v>
      </c>
      <c r="I207" s="18">
        <f>179269.36+3845.84</f>
        <v>183115.19999999998</v>
      </c>
      <c r="J207" s="18">
        <v>3807.2</v>
      </c>
      <c r="K207" s="18"/>
      <c r="L207" s="19">
        <f t="shared" si="0"/>
        <v>646002.00999999989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253843.20000000001</v>
      </c>
      <c r="I208" s="18"/>
      <c r="J208" s="18"/>
      <c r="K208" s="18"/>
      <c r="L208" s="19">
        <f t="shared" si="0"/>
        <v>253843.20000000001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56248.74</v>
      </c>
      <c r="G209" s="18">
        <v>25681.43</v>
      </c>
      <c r="H209" s="18">
        <f>22656.23+25681.41</f>
        <v>48337.64</v>
      </c>
      <c r="I209" s="18">
        <f>7864.03+18771.68</f>
        <v>26635.71</v>
      </c>
      <c r="J209" s="18">
        <f>14470.56+10826.41</f>
        <v>25296.97</v>
      </c>
      <c r="K209" s="18">
        <v>542.41999999999996</v>
      </c>
      <c r="L209" s="19">
        <f>SUM(F209:K209)</f>
        <v>182742.91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3297230.0300000003</v>
      </c>
      <c r="G211" s="41">
        <f t="shared" si="1"/>
        <v>1393780.95</v>
      </c>
      <c r="H211" s="41">
        <f t="shared" si="1"/>
        <v>633968.2300000001</v>
      </c>
      <c r="I211" s="41">
        <f t="shared" si="1"/>
        <v>333962.01000000007</v>
      </c>
      <c r="J211" s="41">
        <f t="shared" si="1"/>
        <v>50026.259999999995</v>
      </c>
      <c r="K211" s="41">
        <f t="shared" si="1"/>
        <v>14893.01</v>
      </c>
      <c r="L211" s="41">
        <f t="shared" si="1"/>
        <v>5723860.4900000002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1703295.67+9851.83</f>
        <v>1713147.5</v>
      </c>
      <c r="G215" s="18">
        <f>792545.24+1860.18+6124.5</f>
        <v>800529.92000000004</v>
      </c>
      <c r="H215" s="18">
        <v>18193.73</v>
      </c>
      <c r="I215" s="18">
        <f>85245.29+84.65</f>
        <v>85329.939999999988</v>
      </c>
      <c r="J215" s="18">
        <v>2379.59</v>
      </c>
      <c r="K215" s="18">
        <v>277</v>
      </c>
      <c r="L215" s="19">
        <f>SUM(F215:K215)</f>
        <v>2619857.6799999997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401229.18+41729.11</f>
        <v>442958.29</v>
      </c>
      <c r="G216" s="18">
        <f>104995.39+10852.18+6124.5</f>
        <v>121972.07</v>
      </c>
      <c r="H216" s="18">
        <f>227205.86+44119.84</f>
        <v>271325.69999999995</v>
      </c>
      <c r="I216" s="18">
        <f>6579.18+42.53</f>
        <v>6621.71</v>
      </c>
      <c r="J216" s="18">
        <v>11396.24</v>
      </c>
      <c r="K216" s="18">
        <v>4153.41</v>
      </c>
      <c r="L216" s="19">
        <f>SUM(F216:K216)</f>
        <v>858427.41999999993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43769.32</v>
      </c>
      <c r="G218" s="18">
        <v>7537.15</v>
      </c>
      <c r="H218" s="18">
        <v>5241.3500000000004</v>
      </c>
      <c r="I218" s="18">
        <v>3741.14</v>
      </c>
      <c r="J218" s="18"/>
      <c r="K218" s="18">
        <v>1032.1500000000001</v>
      </c>
      <c r="L218" s="19">
        <f>SUM(F218:K218)</f>
        <v>61321.11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189297.64+129182.95-6354</f>
        <v>312126.59000000003</v>
      </c>
      <c r="G220" s="18">
        <f>62046.87+56993.51</f>
        <v>119040.38</v>
      </c>
      <c r="H220" s="18">
        <f>2072.74+22412.46</f>
        <v>24485.199999999997</v>
      </c>
      <c r="I220" s="18">
        <f>1745.15+7144.38</f>
        <v>8889.5300000000007</v>
      </c>
      <c r="J220" s="18">
        <v>1137.05</v>
      </c>
      <c r="K220" s="18"/>
      <c r="L220" s="19">
        <f t="shared" ref="L220:L226" si="2">SUM(F220:K220)</f>
        <v>465678.75000000006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38684+23014.12</f>
        <v>61698.119999999995</v>
      </c>
      <c r="G221" s="18">
        <f>11049.86+17266.15</f>
        <v>28316.010000000002</v>
      </c>
      <c r="H221" s="18">
        <f>36772.83+6168.67</f>
        <v>42941.5</v>
      </c>
      <c r="I221" s="18">
        <f>12975.26+681.34</f>
        <v>13656.6</v>
      </c>
      <c r="J221" s="18">
        <v>31237.03</v>
      </c>
      <c r="K221" s="18">
        <v>240.48</v>
      </c>
      <c r="L221" s="19">
        <f t="shared" si="2"/>
        <v>178089.74000000002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110722.06</v>
      </c>
      <c r="G222" s="18">
        <v>42837.599999999999</v>
      </c>
      <c r="H222" s="18">
        <v>28137.22</v>
      </c>
      <c r="I222" s="18">
        <v>1174.8</v>
      </c>
      <c r="J222" s="18">
        <v>133.28</v>
      </c>
      <c r="K222" s="18">
        <v>3444.55</v>
      </c>
      <c r="L222" s="19">
        <f t="shared" si="2"/>
        <v>186449.50999999998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273285.84000000003</v>
      </c>
      <c r="G223" s="18">
        <v>118616.9</v>
      </c>
      <c r="H223" s="18">
        <v>7222.45</v>
      </c>
      <c r="I223" s="18">
        <v>1478.34</v>
      </c>
      <c r="J223" s="18"/>
      <c r="K223" s="18">
        <v>5939.14</v>
      </c>
      <c r="L223" s="19">
        <f t="shared" si="2"/>
        <v>406542.67000000004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52607.96</v>
      </c>
      <c r="G224" s="18">
        <v>18259.77</v>
      </c>
      <c r="H224" s="18">
        <v>11617.11</v>
      </c>
      <c r="I224" s="18">
        <v>1084.6300000000001</v>
      </c>
      <c r="J224" s="18">
        <v>406.97</v>
      </c>
      <c r="K224" s="18">
        <v>613.32000000000005</v>
      </c>
      <c r="L224" s="19">
        <f t="shared" si="2"/>
        <v>84589.760000000009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133179.53+27972.85</f>
        <v>161152.38</v>
      </c>
      <c r="G225" s="18">
        <f>55089.41+14979.12</f>
        <v>70068.53</v>
      </c>
      <c r="H225" s="18">
        <f>117793.16+22243.04</f>
        <v>140036.20000000001</v>
      </c>
      <c r="I225" s="18">
        <f>179458.87+4615.01</f>
        <v>184073.88</v>
      </c>
      <c r="J225" s="18">
        <f>12438.99+4568.65</f>
        <v>17007.64</v>
      </c>
      <c r="K225" s="18"/>
      <c r="L225" s="19">
        <f t="shared" si="2"/>
        <v>572338.63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f>17389.89+149911.86+69051.93</f>
        <v>236353.68</v>
      </c>
      <c r="I226" s="18"/>
      <c r="J226" s="18"/>
      <c r="K226" s="18"/>
      <c r="L226" s="19">
        <f t="shared" si="2"/>
        <v>236353.68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56248.74</v>
      </c>
      <c r="G227" s="18">
        <v>25681.43</v>
      </c>
      <c r="H227" s="18">
        <f>24468.37+18771.68</f>
        <v>43240.05</v>
      </c>
      <c r="I227" s="18">
        <f>13253.35+10826.41</f>
        <v>24079.760000000002</v>
      </c>
      <c r="J227" s="18">
        <f>10217.5+9254.55</f>
        <v>19472.05</v>
      </c>
      <c r="K227" s="18">
        <v>488.78</v>
      </c>
      <c r="L227" s="19">
        <f>SUM(F227:K227)</f>
        <v>169210.81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3227716.8</v>
      </c>
      <c r="G229" s="41">
        <f>SUM(G215:G228)</f>
        <v>1352859.76</v>
      </c>
      <c r="H229" s="41">
        <f>SUM(H215:H228)</f>
        <v>828794.19</v>
      </c>
      <c r="I229" s="41">
        <f>SUM(I215:I228)</f>
        <v>330130.33</v>
      </c>
      <c r="J229" s="41">
        <f>SUM(J215:J228)</f>
        <v>83169.849999999991</v>
      </c>
      <c r="K229" s="41">
        <f t="shared" si="3"/>
        <v>16188.83</v>
      </c>
      <c r="L229" s="41">
        <f t="shared" si="3"/>
        <v>5838859.7599999988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1761972.92+9562.07</f>
        <v>1771534.99</v>
      </c>
      <c r="G233" s="18">
        <f>755451.28+1805.47+6124.5</f>
        <v>763381.25</v>
      </c>
      <c r="H233" s="18">
        <v>27658.51</v>
      </c>
      <c r="I233" s="18">
        <f>127177.1+82.06</f>
        <v>127259.16</v>
      </c>
      <c r="J233" s="18">
        <v>10706.38</v>
      </c>
      <c r="K233" s="18">
        <v>2914.5</v>
      </c>
      <c r="L233" s="19">
        <f>SUM(F233:K233)</f>
        <v>2703454.79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409214.15+40238.78</f>
        <v>449452.93000000005</v>
      </c>
      <c r="G234" s="18">
        <f>89578.5+10464.6+6124.5</f>
        <v>106167.6</v>
      </c>
      <c r="H234" s="18">
        <f>235880.06+42544.13</f>
        <v>278424.19</v>
      </c>
      <c r="I234" s="18">
        <f>2100.04+41.01</f>
        <v>2141.0500000000002</v>
      </c>
      <c r="J234" s="18">
        <v>6058.76</v>
      </c>
      <c r="K234" s="18">
        <v>4005.07</v>
      </c>
      <c r="L234" s="19">
        <f>SUM(F234:K234)</f>
        <v>846249.6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26788.68</v>
      </c>
      <c r="I235" s="18"/>
      <c r="J235" s="18"/>
      <c r="K235" s="18"/>
      <c r="L235" s="19">
        <f>SUM(F235:K235)</f>
        <v>26788.68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219764.44</v>
      </c>
      <c r="G236" s="18">
        <v>57392.959999999999</v>
      </c>
      <c r="H236" s="18">
        <v>57124.22</v>
      </c>
      <c r="I236" s="18">
        <v>34420.33</v>
      </c>
      <c r="J236" s="18">
        <v>1636.18</v>
      </c>
      <c r="K236" s="18">
        <v>12904.56</v>
      </c>
      <c r="L236" s="19">
        <f>SUM(F236:K236)</f>
        <v>383242.69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303325.66+125383.45</f>
        <v>428709.11</v>
      </c>
      <c r="G238" s="18">
        <f>118215.8+55317.23</f>
        <v>173533.03</v>
      </c>
      <c r="H238" s="18">
        <f>21753.27+21753.27</f>
        <v>43506.54</v>
      </c>
      <c r="I238" s="18">
        <f>4676.67+6934.25</f>
        <v>11610.92</v>
      </c>
      <c r="J238" s="18">
        <f>1490.61+1103.61</f>
        <v>2594.2199999999998</v>
      </c>
      <c r="K238" s="18">
        <v>2907.06</v>
      </c>
      <c r="L238" s="19">
        <f t="shared" ref="L238:L244" si="4">SUM(F238:K238)</f>
        <v>662860.88000000012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75157.04+26082.68</f>
        <v>101239.72</v>
      </c>
      <c r="G239" s="18">
        <f>35448.72+19568.3</f>
        <v>55017.020000000004</v>
      </c>
      <c r="H239" s="18">
        <f>43390.14+6991.15</f>
        <v>50381.29</v>
      </c>
      <c r="I239" s="18">
        <f>16230.88+772.18</f>
        <v>17003.059999999998</v>
      </c>
      <c r="J239" s="18">
        <v>14771.65</v>
      </c>
      <c r="K239" s="18">
        <v>272.54000000000002</v>
      </c>
      <c r="L239" s="19">
        <f t="shared" si="4"/>
        <v>238685.28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107239.78</v>
      </c>
      <c r="G240" s="18">
        <v>41466.14</v>
      </c>
      <c r="H240" s="18">
        <v>27303.53</v>
      </c>
      <c r="I240" s="18">
        <v>1138.42</v>
      </c>
      <c r="J240" s="18">
        <v>129.36000000000001</v>
      </c>
      <c r="K240" s="18">
        <v>3342.21</v>
      </c>
      <c r="L240" s="19">
        <f t="shared" si="4"/>
        <v>180619.43999999997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283523.52</v>
      </c>
      <c r="G241" s="18">
        <v>110320.7</v>
      </c>
      <c r="H241" s="18">
        <v>13510.85</v>
      </c>
      <c r="I241" s="18">
        <v>1496.99</v>
      </c>
      <c r="J241" s="18"/>
      <c r="K241" s="18">
        <v>14886.06</v>
      </c>
      <c r="L241" s="19">
        <f t="shared" si="4"/>
        <v>423738.12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59622.36</v>
      </c>
      <c r="G242" s="18">
        <v>20694.41</v>
      </c>
      <c r="H242" s="18">
        <v>13166.06</v>
      </c>
      <c r="I242" s="18">
        <v>1229.25</v>
      </c>
      <c r="J242" s="18">
        <v>461.23</v>
      </c>
      <c r="K242" s="18">
        <v>695.09</v>
      </c>
      <c r="L242" s="19">
        <f t="shared" si="4"/>
        <v>95868.4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170030.32+41959.28</f>
        <v>211989.6</v>
      </c>
      <c r="G243" s="18">
        <f>76861.65+22468.68</f>
        <v>99330.329999999987</v>
      </c>
      <c r="H243" s="18">
        <f>196527.79+33364.56</f>
        <v>229892.35</v>
      </c>
      <c r="I243" s="18">
        <f>245692.07+6922.52</f>
        <v>252614.59</v>
      </c>
      <c r="J243" s="18">
        <f>5392.27+6852.97</f>
        <v>12245.240000000002</v>
      </c>
      <c r="K243" s="18"/>
      <c r="L243" s="19">
        <f t="shared" si="4"/>
        <v>806072.11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80684.37+141345.47+19147.12+47438.67</f>
        <v>288615.63</v>
      </c>
      <c r="I244" s="18"/>
      <c r="J244" s="18"/>
      <c r="K244" s="18"/>
      <c r="L244" s="19">
        <f t="shared" si="4"/>
        <v>288615.63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56248.74</v>
      </c>
      <c r="G245" s="18">
        <v>25681.43</v>
      </c>
      <c r="H245" s="18">
        <f>23463.94+18771.68</f>
        <v>42235.619999999995</v>
      </c>
      <c r="I245" s="18">
        <f>13120.64+10826.41</f>
        <v>23947.05</v>
      </c>
      <c r="J245" s="18">
        <f>2368.1+9254.55</f>
        <v>11622.65</v>
      </c>
      <c r="K245" s="18">
        <v>542.41999999999996</v>
      </c>
      <c r="L245" s="19">
        <f>SUM(F245:K245)</f>
        <v>160277.91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3689325.19</v>
      </c>
      <c r="G247" s="41">
        <f t="shared" si="5"/>
        <v>1452984.8699999996</v>
      </c>
      <c r="H247" s="41">
        <f t="shared" si="5"/>
        <v>1098607.4700000002</v>
      </c>
      <c r="I247" s="41">
        <f t="shared" si="5"/>
        <v>472860.82</v>
      </c>
      <c r="J247" s="41">
        <f t="shared" si="5"/>
        <v>60225.670000000006</v>
      </c>
      <c r="K247" s="41">
        <f t="shared" si="5"/>
        <v>42469.509999999995</v>
      </c>
      <c r="L247" s="41">
        <f t="shared" si="5"/>
        <v>6816473.5300000021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>
        <v>21040.13</v>
      </c>
      <c r="G250" s="18">
        <v>2536.7399999999998</v>
      </c>
      <c r="H250" s="18"/>
      <c r="I250" s="18"/>
      <c r="J250" s="18"/>
      <c r="K250" s="18"/>
      <c r="L250" s="19">
        <f t="shared" ref="L250:L255" si="6">SUM(F250:K250)</f>
        <v>23576.870000000003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265.01</v>
      </c>
      <c r="G251" s="18"/>
      <c r="H251" s="18"/>
      <c r="I251" s="18"/>
      <c r="J251" s="18"/>
      <c r="K251" s="18"/>
      <c r="L251" s="19">
        <f t="shared" si="6"/>
        <v>265.01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 t="s">
        <v>912</v>
      </c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90651.199999999997</v>
      </c>
      <c r="I255" s="18"/>
      <c r="J255" s="18"/>
      <c r="K255" s="18"/>
      <c r="L255" s="19">
        <f t="shared" si="6"/>
        <v>90651.199999999997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21305.14</v>
      </c>
      <c r="G256" s="41">
        <f t="shared" si="7"/>
        <v>2536.7399999999998</v>
      </c>
      <c r="H256" s="41">
        <f t="shared" si="7"/>
        <v>90651.199999999997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114493.07999999999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10235577.16</v>
      </c>
      <c r="G257" s="41">
        <f t="shared" si="8"/>
        <v>4202162.32</v>
      </c>
      <c r="H257" s="41">
        <f t="shared" si="8"/>
        <v>2652021.0900000003</v>
      </c>
      <c r="I257" s="41">
        <f t="shared" si="8"/>
        <v>1136953.1600000001</v>
      </c>
      <c r="J257" s="41">
        <f t="shared" si="8"/>
        <v>193421.78</v>
      </c>
      <c r="K257" s="41">
        <f t="shared" si="8"/>
        <v>73551.349999999991</v>
      </c>
      <c r="L257" s="41">
        <f t="shared" si="8"/>
        <v>18493686.859999999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800000</v>
      </c>
      <c r="L260" s="19">
        <f>SUM(F260:K260)</f>
        <v>800000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67462.509999999995</v>
      </c>
      <c r="L261" s="19">
        <f>SUM(F261:K261)</f>
        <v>67462.509999999995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867462.51</v>
      </c>
      <c r="L270" s="41">
        <f t="shared" si="9"/>
        <v>867462.51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10235577.16</v>
      </c>
      <c r="G271" s="42">
        <f t="shared" si="11"/>
        <v>4202162.32</v>
      </c>
      <c r="H271" s="42">
        <f t="shared" si="11"/>
        <v>2652021.0900000003</v>
      </c>
      <c r="I271" s="42">
        <f t="shared" si="11"/>
        <v>1136953.1600000001</v>
      </c>
      <c r="J271" s="42">
        <f t="shared" si="11"/>
        <v>193421.78</v>
      </c>
      <c r="K271" s="42">
        <f t="shared" si="11"/>
        <v>941013.86</v>
      </c>
      <c r="L271" s="42">
        <f t="shared" si="11"/>
        <v>19361149.370000001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29950.58</v>
      </c>
      <c r="G276" s="18">
        <v>3125.63</v>
      </c>
      <c r="H276" s="18">
        <v>3891.07</v>
      </c>
      <c r="I276" s="18">
        <v>889.62</v>
      </c>
      <c r="J276" s="18">
        <v>1397.68</v>
      </c>
      <c r="K276" s="18"/>
      <c r="L276" s="19">
        <f>SUM(F276:K276)</f>
        <v>39254.58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8103.55</v>
      </c>
      <c r="G277" s="18">
        <v>1207.9000000000001</v>
      </c>
      <c r="H277" s="18">
        <f>500+443.92</f>
        <v>943.92000000000007</v>
      </c>
      <c r="I277" s="18">
        <f>9560+379.24</f>
        <v>9939.24</v>
      </c>
      <c r="J277" s="18">
        <v>673.03</v>
      </c>
      <c r="K277" s="18"/>
      <c r="L277" s="19">
        <f>SUM(F277:K277)</f>
        <v>20867.64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24682.94</v>
      </c>
      <c r="G281" s="18">
        <v>11302.13</v>
      </c>
      <c r="H281" s="18"/>
      <c r="I281" s="18"/>
      <c r="J281" s="18">
        <v>337.38</v>
      </c>
      <c r="K281" s="18"/>
      <c r="L281" s="19">
        <f t="shared" ref="L281:L287" si="12">SUM(F281:K281)</f>
        <v>36322.449999999997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508.04</v>
      </c>
      <c r="G282" s="18">
        <v>72.75</v>
      </c>
      <c r="H282" s="18">
        <v>4712.26</v>
      </c>
      <c r="I282" s="18">
        <v>1450.6</v>
      </c>
      <c r="J282" s="18"/>
      <c r="K282" s="18">
        <v>49.5</v>
      </c>
      <c r="L282" s="19">
        <f t="shared" si="12"/>
        <v>6793.15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63245.110000000008</v>
      </c>
      <c r="G290" s="42">
        <f t="shared" si="13"/>
        <v>15708.41</v>
      </c>
      <c r="H290" s="42">
        <f t="shared" si="13"/>
        <v>9547.25</v>
      </c>
      <c r="I290" s="42">
        <f t="shared" si="13"/>
        <v>12279.460000000001</v>
      </c>
      <c r="J290" s="42">
        <f t="shared" si="13"/>
        <v>2408.09</v>
      </c>
      <c r="K290" s="42">
        <f t="shared" si="13"/>
        <v>49.5</v>
      </c>
      <c r="L290" s="41">
        <f t="shared" si="13"/>
        <v>103237.81999999999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f>58996.26-898.22</f>
        <v>58098.04</v>
      </c>
      <c r="G295" s="18">
        <v>5805.58</v>
      </c>
      <c r="H295" s="18">
        <v>3891.07</v>
      </c>
      <c r="I295" s="18">
        <v>889.62</v>
      </c>
      <c r="J295" s="18">
        <v>1397.68</v>
      </c>
      <c r="K295" s="18"/>
      <c r="L295" s="19">
        <f>SUM(F295:K295)</f>
        <v>70081.989999999991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58094.04</v>
      </c>
      <c r="G296" s="18">
        <v>9859.2800000000007</v>
      </c>
      <c r="H296" s="18">
        <v>443.92</v>
      </c>
      <c r="I296" s="18">
        <v>379.24</v>
      </c>
      <c r="J296" s="18">
        <v>673.03</v>
      </c>
      <c r="K296" s="18"/>
      <c r="L296" s="19">
        <f>SUM(F296:K296)</f>
        <v>69449.510000000009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25430.91</v>
      </c>
      <c r="G300" s="18">
        <v>11302.13</v>
      </c>
      <c r="H300" s="18"/>
      <c r="I300" s="18"/>
      <c r="J300" s="18">
        <v>337.38</v>
      </c>
      <c r="K300" s="18"/>
      <c r="L300" s="19">
        <f t="shared" ref="L300:L306" si="14">SUM(F300:K300)</f>
        <v>37070.42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523.42999999999995</v>
      </c>
      <c r="G301" s="18">
        <v>72.75</v>
      </c>
      <c r="H301" s="18">
        <v>4712.76</v>
      </c>
      <c r="I301" s="18">
        <v>1450.6</v>
      </c>
      <c r="J301" s="18"/>
      <c r="K301" s="18">
        <v>49.5</v>
      </c>
      <c r="L301" s="19">
        <f t="shared" si="14"/>
        <v>6809.0400000000009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142146.41999999998</v>
      </c>
      <c r="G309" s="42">
        <f t="shared" si="15"/>
        <v>27039.739999999998</v>
      </c>
      <c r="H309" s="42">
        <f t="shared" si="15"/>
        <v>9047.75</v>
      </c>
      <c r="I309" s="42">
        <f t="shared" si="15"/>
        <v>2719.46</v>
      </c>
      <c r="J309" s="42">
        <f t="shared" si="15"/>
        <v>2408.09</v>
      </c>
      <c r="K309" s="42">
        <f t="shared" si="15"/>
        <v>49.5</v>
      </c>
      <c r="L309" s="41">
        <f t="shared" si="15"/>
        <v>183410.96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6597.94</v>
      </c>
      <c r="G314" s="18">
        <v>1291.3699999999999</v>
      </c>
      <c r="H314" s="18">
        <v>5094.26</v>
      </c>
      <c r="I314" s="18">
        <v>3713.28</v>
      </c>
      <c r="J314" s="18">
        <v>1397.68</v>
      </c>
      <c r="K314" s="18">
        <v>2675</v>
      </c>
      <c r="L314" s="19">
        <f>SUM(F314:K314)</f>
        <v>20769.53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68073.539999999994</v>
      </c>
      <c r="G315" s="18">
        <v>33447.160000000003</v>
      </c>
      <c r="H315" s="18"/>
      <c r="I315" s="18"/>
      <c r="J315" s="18"/>
      <c r="K315" s="18"/>
      <c r="L315" s="19">
        <f>SUM(F315:K315)</f>
        <v>101520.7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24682.94</v>
      </c>
      <c r="G319" s="18">
        <v>11302.13</v>
      </c>
      <c r="H319" s="18"/>
      <c r="I319" s="18"/>
      <c r="J319" s="18">
        <v>337.38</v>
      </c>
      <c r="K319" s="18"/>
      <c r="L319" s="19">
        <f t="shared" ref="L319:L325" si="16">SUM(F319:K319)</f>
        <v>36322.449999999997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508.04</v>
      </c>
      <c r="G320" s="18">
        <v>72.75</v>
      </c>
      <c r="H320" s="18">
        <v>4712.26</v>
      </c>
      <c r="I320" s="18">
        <v>1450.6</v>
      </c>
      <c r="J320" s="18"/>
      <c r="K320" s="18">
        <v>49.5</v>
      </c>
      <c r="L320" s="19">
        <f t="shared" si="16"/>
        <v>6793.15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99862.459999999992</v>
      </c>
      <c r="G328" s="42">
        <f t="shared" si="17"/>
        <v>46113.41</v>
      </c>
      <c r="H328" s="42">
        <f t="shared" si="17"/>
        <v>9806.52</v>
      </c>
      <c r="I328" s="42">
        <f t="shared" si="17"/>
        <v>5163.88</v>
      </c>
      <c r="J328" s="42">
        <f t="shared" si="17"/>
        <v>1735.06</v>
      </c>
      <c r="K328" s="42">
        <f t="shared" si="17"/>
        <v>2724.5</v>
      </c>
      <c r="L328" s="41">
        <f t="shared" si="17"/>
        <v>165405.82999999999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305253.99</v>
      </c>
      <c r="G338" s="41">
        <f t="shared" si="20"/>
        <v>88861.56</v>
      </c>
      <c r="H338" s="41">
        <f t="shared" si="20"/>
        <v>28401.52</v>
      </c>
      <c r="I338" s="41">
        <f t="shared" si="20"/>
        <v>20162.800000000003</v>
      </c>
      <c r="J338" s="41">
        <f t="shared" si="20"/>
        <v>6551.24</v>
      </c>
      <c r="K338" s="41">
        <f t="shared" si="20"/>
        <v>2823.5</v>
      </c>
      <c r="L338" s="41">
        <f t="shared" si="20"/>
        <v>452054.61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305253.99</v>
      </c>
      <c r="G352" s="41">
        <f>G338</f>
        <v>88861.56</v>
      </c>
      <c r="H352" s="41">
        <f>H338</f>
        <v>28401.52</v>
      </c>
      <c r="I352" s="41">
        <f>I338</f>
        <v>20162.800000000003</v>
      </c>
      <c r="J352" s="41">
        <f>J338</f>
        <v>6551.24</v>
      </c>
      <c r="K352" s="47">
        <f>K338+K351</f>
        <v>2823.5</v>
      </c>
      <c r="L352" s="41">
        <f>L338+L351</f>
        <v>452054.61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32102.43+2684.23+16894.94</f>
        <v>51681.600000000006</v>
      </c>
      <c r="G358" s="18">
        <f>3377.81+4779.46+0.06</f>
        <v>8157.3300000000008</v>
      </c>
      <c r="H358" s="18">
        <f>1304.19+4754.25</f>
        <v>6058.4400000000005</v>
      </c>
      <c r="I358" s="18">
        <f>47178.67+77.15+6117.22</f>
        <v>53373.04</v>
      </c>
      <c r="J358" s="18">
        <v>4309.92</v>
      </c>
      <c r="K358" s="18">
        <f>256.91+57.75</f>
        <v>314.66000000000003</v>
      </c>
      <c r="L358" s="13">
        <f>SUM(F358:K358)</f>
        <v>123894.99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f>39821.17+19579.87</f>
        <v>59401.039999999994</v>
      </c>
      <c r="G359" s="18">
        <f>4023.33+4779.46</f>
        <v>8802.7900000000009</v>
      </c>
      <c r="H359" s="18">
        <f>933+4754.25+0.01</f>
        <v>5687.26</v>
      </c>
      <c r="I359" s="18">
        <f>86669.36+77.15+6117.22</f>
        <v>92863.73</v>
      </c>
      <c r="J359" s="18">
        <v>15156.71</v>
      </c>
      <c r="K359" s="18">
        <f>257.91+57.75</f>
        <v>315.66000000000003</v>
      </c>
      <c r="L359" s="19">
        <f>SUM(F359:K359)</f>
        <v>182227.18999999997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f>58987.11+19579.87-1.4</f>
        <v>78565.58</v>
      </c>
      <c r="G360" s="18">
        <f>23599.39+4779.46</f>
        <v>28378.85</v>
      </c>
      <c r="H360" s="18">
        <f>2110.72+4754.25</f>
        <v>6864.9699999999993</v>
      </c>
      <c r="I360" s="18">
        <f>116313.02+77.15+6117.22</f>
        <v>122507.39</v>
      </c>
      <c r="J360" s="18">
        <v>3717.34</v>
      </c>
      <c r="K360" s="18">
        <f>144.91+57.75</f>
        <v>202.66</v>
      </c>
      <c r="L360" s="19">
        <f>SUM(F360:K360)</f>
        <v>240236.78999999998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189648.22</v>
      </c>
      <c r="G362" s="47">
        <f t="shared" si="22"/>
        <v>45338.97</v>
      </c>
      <c r="H362" s="47">
        <f t="shared" si="22"/>
        <v>18610.669999999998</v>
      </c>
      <c r="I362" s="47">
        <f t="shared" si="22"/>
        <v>268744.15999999997</v>
      </c>
      <c r="J362" s="47">
        <f t="shared" si="22"/>
        <v>23183.969999999998</v>
      </c>
      <c r="K362" s="47">
        <f t="shared" si="22"/>
        <v>832.98</v>
      </c>
      <c r="L362" s="47">
        <f t="shared" si="22"/>
        <v>546358.97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44591.55+6194.37</f>
        <v>50785.920000000006</v>
      </c>
      <c r="G367" s="18">
        <f>83590.85+6194.37</f>
        <v>89785.22</v>
      </c>
      <c r="H367" s="18">
        <f>110342.65+6194.37</f>
        <v>116537.01999999999</v>
      </c>
      <c r="I367" s="56">
        <f>SUM(F367:H367)</f>
        <v>257108.16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2587.12</v>
      </c>
      <c r="G368" s="63">
        <v>3078.51</v>
      </c>
      <c r="H368" s="63">
        <v>5970.37</v>
      </c>
      <c r="I368" s="56">
        <f>SUM(F368:H368)</f>
        <v>11636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53373.040000000008</v>
      </c>
      <c r="G369" s="47">
        <f>SUM(G367:G368)</f>
        <v>92863.73</v>
      </c>
      <c r="H369" s="47">
        <f>SUM(H367:H368)</f>
        <v>122507.38999999998</v>
      </c>
      <c r="I369" s="47">
        <f>SUM(I367:I368)</f>
        <v>268744.16000000003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73.11</v>
      </c>
      <c r="I396" s="18"/>
      <c r="J396" s="24" t="s">
        <v>289</v>
      </c>
      <c r="K396" s="24" t="s">
        <v>289</v>
      </c>
      <c r="L396" s="56">
        <f t="shared" si="26"/>
        <v>73.11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187.99</v>
      </c>
      <c r="I397" s="18"/>
      <c r="J397" s="24" t="s">
        <v>289</v>
      </c>
      <c r="K397" s="24" t="s">
        <v>289</v>
      </c>
      <c r="L397" s="56">
        <f t="shared" si="26"/>
        <v>187.99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261.10000000000002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261.10000000000002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261.10000000000002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261.10000000000002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104497.02</v>
      </c>
      <c r="H439" s="18"/>
      <c r="I439" s="56">
        <f t="shared" ref="I439:I445" si="33">SUM(F439:H439)</f>
        <v>104497.02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104497.02</v>
      </c>
      <c r="H446" s="13">
        <f>SUM(H439:H445)</f>
        <v>0</v>
      </c>
      <c r="I446" s="13">
        <f>SUM(I439:I445)</f>
        <v>104497.02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104497.02</v>
      </c>
      <c r="H459" s="18"/>
      <c r="I459" s="56">
        <f t="shared" si="34"/>
        <v>104497.02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104497.02</v>
      </c>
      <c r="H460" s="83">
        <f>SUM(H454:H459)</f>
        <v>0</v>
      </c>
      <c r="I460" s="83">
        <f>SUM(I454:I459)</f>
        <v>104497.02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104497.02</v>
      </c>
      <c r="H461" s="42">
        <f>H452+H460</f>
        <v>0</v>
      </c>
      <c r="I461" s="42">
        <f>I452+I460</f>
        <v>104497.02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512797.47</v>
      </c>
      <c r="G465" s="18">
        <v>70851.58</v>
      </c>
      <c r="H465" s="18">
        <v>0</v>
      </c>
      <c r="I465" s="18"/>
      <c r="J465" s="18">
        <v>104235.92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19777071.899999999</v>
      </c>
      <c r="G468" s="18">
        <v>546167.34</v>
      </c>
      <c r="H468" s="18">
        <v>452054.61</v>
      </c>
      <c r="I468" s="18"/>
      <c r="J468" s="18">
        <v>261.10000000000002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19777071.899999999</v>
      </c>
      <c r="G470" s="53">
        <f>SUM(G468:G469)</f>
        <v>546167.34</v>
      </c>
      <c r="H470" s="53">
        <f>SUM(H468:H469)</f>
        <v>452054.61</v>
      </c>
      <c r="I470" s="53">
        <f>SUM(I468:I469)</f>
        <v>0</v>
      </c>
      <c r="J470" s="53">
        <f>SUM(J468:J469)</f>
        <v>261.10000000000002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19361149.370000001</v>
      </c>
      <c r="G472" s="18">
        <v>546358.97</v>
      </c>
      <c r="H472" s="18">
        <v>452054.61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19361149.370000001</v>
      </c>
      <c r="G474" s="53">
        <f>SUM(G472:G473)</f>
        <v>546358.97</v>
      </c>
      <c r="H474" s="53">
        <f>SUM(H472:H473)</f>
        <v>452054.61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928719.99999999627</v>
      </c>
      <c r="G476" s="53">
        <f>(G465+G470)- G474</f>
        <v>70659.949999999953</v>
      </c>
      <c r="H476" s="53">
        <f>(H465+H470)- H474</f>
        <v>0</v>
      </c>
      <c r="I476" s="53">
        <f>(I465+I470)- I474</f>
        <v>0</v>
      </c>
      <c r="J476" s="53">
        <f>(J465+J470)- J474</f>
        <v>104497.02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15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11685000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5.14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1285000</v>
      </c>
      <c r="G495" s="18"/>
      <c r="H495" s="18"/>
      <c r="I495" s="18"/>
      <c r="J495" s="18"/>
      <c r="K495" s="53">
        <f>SUM(F495:J495)</f>
        <v>1285000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800000</v>
      </c>
      <c r="G497" s="18"/>
      <c r="H497" s="18"/>
      <c r="I497" s="18"/>
      <c r="J497" s="18"/>
      <c r="K497" s="53">
        <f t="shared" si="35"/>
        <v>800000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485000</v>
      </c>
      <c r="G498" s="204"/>
      <c r="H498" s="204"/>
      <c r="I498" s="204"/>
      <c r="J498" s="204"/>
      <c r="K498" s="205">
        <f t="shared" si="35"/>
        <v>485000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25462.5</v>
      </c>
      <c r="G499" s="18"/>
      <c r="H499" s="18"/>
      <c r="I499" s="18"/>
      <c r="J499" s="18"/>
      <c r="K499" s="53">
        <f t="shared" si="35"/>
        <v>25462.5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510462.5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510462.5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616507.93+7739.72</f>
        <v>624247.65</v>
      </c>
      <c r="G521" s="18">
        <f>174178.44112927</f>
        <v>174178.44112927001</v>
      </c>
      <c r="H521" s="18">
        <v>720</v>
      </c>
      <c r="I521" s="18">
        <v>4283.2299999999996</v>
      </c>
      <c r="J521" s="18">
        <v>10802.45</v>
      </c>
      <c r="K521" s="18">
        <v>388.5</v>
      </c>
      <c r="L521" s="88">
        <f>SUM(F521:K521)</f>
        <v>814620.27112926997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401229.18+57719.19</f>
        <v>458948.37</v>
      </c>
      <c r="G522" s="18">
        <f>104995.39978065</f>
        <v>104995.39978065</v>
      </c>
      <c r="H522" s="18">
        <v>227205.86</v>
      </c>
      <c r="I522" s="18">
        <v>6579.18</v>
      </c>
      <c r="J522" s="18">
        <v>11396.24</v>
      </c>
      <c r="K522" s="18"/>
      <c r="L522" s="88">
        <f>SUM(F522:K522)</f>
        <v>809125.04978065006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409214.15+67709.71</f>
        <v>476923.86000000004</v>
      </c>
      <c r="G523" s="18">
        <f>89578.5+33368.53</f>
        <v>122947.03</v>
      </c>
      <c r="H523" s="18">
        <v>235880.06</v>
      </c>
      <c r="I523" s="18">
        <v>2100.04</v>
      </c>
      <c r="J523" s="18">
        <v>6058.76</v>
      </c>
      <c r="K523" s="18"/>
      <c r="L523" s="88">
        <f>SUM(F523:K523)</f>
        <v>843909.75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1560119.8800000001</v>
      </c>
      <c r="G524" s="108">
        <f t="shared" ref="G524:L524" si="36">SUM(G521:G523)</f>
        <v>402120.87090991996</v>
      </c>
      <c r="H524" s="108">
        <f t="shared" si="36"/>
        <v>463805.92</v>
      </c>
      <c r="I524" s="108">
        <f t="shared" si="36"/>
        <v>12962.45</v>
      </c>
      <c r="J524" s="108">
        <f t="shared" si="36"/>
        <v>28257.450000000004</v>
      </c>
      <c r="K524" s="108">
        <f t="shared" si="36"/>
        <v>388.5</v>
      </c>
      <c r="L524" s="89">
        <f t="shared" si="36"/>
        <v>2467655.0709099201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2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274">
        <v>178585.74</v>
      </c>
      <c r="G526" s="274">
        <v>76264.91</v>
      </c>
      <c r="H526" s="274">
        <v>29663.55</v>
      </c>
      <c r="I526" s="274">
        <v>1836.45</v>
      </c>
      <c r="J526" s="274">
        <v>1964.97</v>
      </c>
      <c r="K526" s="274">
        <f t="shared" ref="K526" si="37">K520*0.45</f>
        <v>0</v>
      </c>
      <c r="L526" s="88">
        <f>SUM(F526:K526)</f>
        <v>288315.62</v>
      </c>
      <c r="M526" s="8"/>
      <c r="N526" s="272"/>
    </row>
    <row r="527" spans="1:14" s="3" customFormat="1" ht="12" customHeight="1" x14ac:dyDescent="0.2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274">
        <v>111120.01</v>
      </c>
      <c r="G527" s="274">
        <v>47453.72</v>
      </c>
      <c r="H527" s="274">
        <v>18457.32</v>
      </c>
      <c r="I527" s="274">
        <v>1142.68</v>
      </c>
      <c r="J527" s="274">
        <v>1222.6600000000001</v>
      </c>
      <c r="K527" s="274">
        <f t="shared" ref="K527" si="38">K520*0.28</f>
        <v>0</v>
      </c>
      <c r="L527" s="88">
        <f>SUM(F527:K527)</f>
        <v>179396.38999999998</v>
      </c>
      <c r="M527" s="8"/>
      <c r="N527" s="272"/>
    </row>
    <row r="528" spans="1:14" s="3" customFormat="1" ht="12" customHeight="1" thickBot="1" x14ac:dyDescent="0.25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274">
        <v>107151.44</v>
      </c>
      <c r="G528" s="274">
        <v>45758.95</v>
      </c>
      <c r="H528" s="274">
        <v>17798.13</v>
      </c>
      <c r="I528" s="274">
        <v>1101.8699999999999</v>
      </c>
      <c r="J528" s="274">
        <v>1178.98</v>
      </c>
      <c r="K528" s="274">
        <f t="shared" ref="K528" si="39">K520*0.27</f>
        <v>0</v>
      </c>
      <c r="L528" s="88">
        <f>SUM(F528:K528)</f>
        <v>172989.37000000002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 t="shared" ref="F529:K529" si="40">SUM(F526:F528)</f>
        <v>396857.19</v>
      </c>
      <c r="G529" s="89">
        <f t="shared" si="40"/>
        <v>169477.58000000002</v>
      </c>
      <c r="H529" s="89">
        <f t="shared" si="40"/>
        <v>65919</v>
      </c>
      <c r="I529" s="89">
        <f t="shared" si="40"/>
        <v>4081</v>
      </c>
      <c r="J529" s="89">
        <f t="shared" si="40"/>
        <v>4366.6100000000006</v>
      </c>
      <c r="K529" s="89">
        <f t="shared" si="40"/>
        <v>0</v>
      </c>
      <c r="L529" s="89">
        <f t="shared" ref="L529" si="41">SUM(L526:L528)</f>
        <v>640701.38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57566.97</v>
      </c>
      <c r="G531" s="18">
        <v>28442.39</v>
      </c>
      <c r="H531" s="18">
        <v>1563.73</v>
      </c>
      <c r="I531" s="18">
        <v>466.7</v>
      </c>
      <c r="J531" s="18"/>
      <c r="K531" s="18">
        <v>263.02999999999997</v>
      </c>
      <c r="L531" s="88">
        <f>SUM(F531:K531)</f>
        <v>88302.819999999992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35819.46</v>
      </c>
      <c r="G532" s="18">
        <v>17697.48</v>
      </c>
      <c r="H532" s="18">
        <v>972.99</v>
      </c>
      <c r="I532" s="18">
        <v>290.39</v>
      </c>
      <c r="J532" s="18"/>
      <c r="K532" s="18">
        <v>163.65</v>
      </c>
      <c r="L532" s="88">
        <f>SUM(F532:K532)</f>
        <v>54943.97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34540.18</v>
      </c>
      <c r="G533" s="18">
        <v>17065.43</v>
      </c>
      <c r="H533" s="18">
        <v>938.24</v>
      </c>
      <c r="I533" s="18">
        <v>280.02</v>
      </c>
      <c r="J533" s="18"/>
      <c r="K533" s="18">
        <v>157.82</v>
      </c>
      <c r="L533" s="88">
        <f>SUM(F533:K533)</f>
        <v>52981.689999999995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 t="shared" ref="F534:K534" si="42">SUM(F531:F533)</f>
        <v>127926.60999999999</v>
      </c>
      <c r="G534" s="89">
        <f t="shared" si="42"/>
        <v>63205.299999999996</v>
      </c>
      <c r="H534" s="89">
        <f t="shared" si="42"/>
        <v>3474.96</v>
      </c>
      <c r="I534" s="89">
        <f t="shared" si="42"/>
        <v>1037.1099999999999</v>
      </c>
      <c r="J534" s="89">
        <f t="shared" si="42"/>
        <v>0</v>
      </c>
      <c r="K534" s="89">
        <f t="shared" si="42"/>
        <v>584.5</v>
      </c>
      <c r="L534" s="89">
        <f t="shared" ref="L534" si="43">SUM(L531:L533)</f>
        <v>196228.47999999998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745.3</v>
      </c>
      <c r="I538" s="18"/>
      <c r="J538" s="18"/>
      <c r="K538" s="18"/>
      <c r="L538" s="88">
        <f>SUM(F538:K538)</f>
        <v>745.3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44">SUM(G536:G538)</f>
        <v>0</v>
      </c>
      <c r="H539" s="89">
        <f t="shared" si="44"/>
        <v>745.3</v>
      </c>
      <c r="I539" s="89">
        <f t="shared" si="44"/>
        <v>0</v>
      </c>
      <c r="J539" s="89">
        <f t="shared" si="44"/>
        <v>0</v>
      </c>
      <c r="K539" s="89">
        <f t="shared" si="44"/>
        <v>0</v>
      </c>
      <c r="L539" s="89">
        <f t="shared" si="44"/>
        <v>745.3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110976.11</v>
      </c>
      <c r="I541" s="18"/>
      <c r="J541" s="18"/>
      <c r="K541" s="18"/>
      <c r="L541" s="88">
        <f>SUM(F541:K541)</f>
        <v>110976.11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69051.929999999993</v>
      </c>
      <c r="I542" s="18"/>
      <c r="J542" s="18"/>
      <c r="K542" s="18"/>
      <c r="L542" s="88">
        <f>SUM(F542:K542)</f>
        <v>69051.929999999993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66585.789999999994</v>
      </c>
      <c r="I543" s="18"/>
      <c r="J543" s="18"/>
      <c r="K543" s="18"/>
      <c r="L543" s="88">
        <f>SUM(F543:K543)</f>
        <v>66585.789999999994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5">SUM(G541:G543)</f>
        <v>0</v>
      </c>
      <c r="H544" s="193">
        <f t="shared" si="45"/>
        <v>246613.82999999996</v>
      </c>
      <c r="I544" s="193">
        <f t="shared" si="45"/>
        <v>0</v>
      </c>
      <c r="J544" s="193">
        <f t="shared" si="45"/>
        <v>0</v>
      </c>
      <c r="K544" s="193">
        <f t="shared" si="45"/>
        <v>0</v>
      </c>
      <c r="L544" s="193">
        <f t="shared" si="45"/>
        <v>246613.82999999996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2084903.6800000002</v>
      </c>
      <c r="G545" s="89">
        <f t="shared" ref="G545:L545" si="46">G524+G529+G534+G539+G544</f>
        <v>634803.75090992008</v>
      </c>
      <c r="H545" s="89">
        <f t="shared" si="46"/>
        <v>780559.00999999989</v>
      </c>
      <c r="I545" s="89">
        <f t="shared" si="46"/>
        <v>18080.560000000001</v>
      </c>
      <c r="J545" s="89">
        <f t="shared" si="46"/>
        <v>32624.060000000005</v>
      </c>
      <c r="K545" s="89">
        <f t="shared" si="46"/>
        <v>973</v>
      </c>
      <c r="L545" s="89">
        <f t="shared" si="46"/>
        <v>3551944.0609099199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814620.27112926997</v>
      </c>
      <c r="G549" s="87">
        <f>L526</f>
        <v>288315.62</v>
      </c>
      <c r="H549" s="87">
        <f>L531</f>
        <v>88302.819999999992</v>
      </c>
      <c r="I549" s="87">
        <f>L536</f>
        <v>0</v>
      </c>
      <c r="J549" s="87">
        <f>L541</f>
        <v>110976.11</v>
      </c>
      <c r="K549" s="87">
        <f>SUM(F549:J549)</f>
        <v>1302214.8211292701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809125.04978065006</v>
      </c>
      <c r="G550" s="87">
        <f>L527</f>
        <v>179396.38999999998</v>
      </c>
      <c r="H550" s="87">
        <f>L532</f>
        <v>54943.97</v>
      </c>
      <c r="I550" s="87">
        <f>L537</f>
        <v>0</v>
      </c>
      <c r="J550" s="87">
        <f>L542</f>
        <v>69051.929999999993</v>
      </c>
      <c r="K550" s="87">
        <f>SUM(F550:J550)</f>
        <v>1112517.3397806501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843909.75</v>
      </c>
      <c r="G551" s="87">
        <f>L528</f>
        <v>172989.37000000002</v>
      </c>
      <c r="H551" s="87">
        <f>L533</f>
        <v>52981.689999999995</v>
      </c>
      <c r="I551" s="87">
        <f>L538</f>
        <v>745.3</v>
      </c>
      <c r="J551" s="87">
        <f>L543</f>
        <v>66585.789999999994</v>
      </c>
      <c r="K551" s="87">
        <f>SUM(F551:J551)</f>
        <v>1137211.9000000001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7">SUM(F549:F551)</f>
        <v>2467655.0709099201</v>
      </c>
      <c r="G552" s="89">
        <f t="shared" si="47"/>
        <v>640701.38</v>
      </c>
      <c r="H552" s="89">
        <f t="shared" si="47"/>
        <v>196228.47999999998</v>
      </c>
      <c r="I552" s="89">
        <f t="shared" si="47"/>
        <v>745.3</v>
      </c>
      <c r="J552" s="89">
        <f t="shared" si="47"/>
        <v>246613.82999999996</v>
      </c>
      <c r="K552" s="89">
        <f t="shared" si="47"/>
        <v>3551944.0609099204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8">SUM(F557:F559)</f>
        <v>0</v>
      </c>
      <c r="G560" s="108">
        <f t="shared" si="48"/>
        <v>0</v>
      </c>
      <c r="H560" s="108">
        <f t="shared" si="48"/>
        <v>0</v>
      </c>
      <c r="I560" s="108">
        <f t="shared" si="48"/>
        <v>0</v>
      </c>
      <c r="J560" s="108">
        <f t="shared" si="48"/>
        <v>0</v>
      </c>
      <c r="K560" s="108">
        <f t="shared" si="48"/>
        <v>0</v>
      </c>
      <c r="L560" s="89">
        <f t="shared" si="48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3408.62</v>
      </c>
      <c r="G562" s="18">
        <v>271.39999999999998</v>
      </c>
      <c r="H562" s="18"/>
      <c r="I562" s="18"/>
      <c r="J562" s="18"/>
      <c r="K562" s="18"/>
      <c r="L562" s="88">
        <f>SUM(F562:K562)</f>
        <v>3680.02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14770.68</v>
      </c>
      <c r="G563" s="18">
        <v>1176.07</v>
      </c>
      <c r="H563" s="18"/>
      <c r="I563" s="18"/>
      <c r="J563" s="18"/>
      <c r="K563" s="18"/>
      <c r="L563" s="88">
        <f>SUM(F563:K563)</f>
        <v>15946.75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19964.25</v>
      </c>
      <c r="G564" s="18">
        <v>1568.1</v>
      </c>
      <c r="H564" s="18"/>
      <c r="I564" s="18"/>
      <c r="J564" s="18"/>
      <c r="K564" s="18"/>
      <c r="L564" s="88">
        <f>SUM(F564:K564)</f>
        <v>21532.35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9">SUM(F562:F564)</f>
        <v>38143.550000000003</v>
      </c>
      <c r="G565" s="89">
        <f t="shared" si="49"/>
        <v>3015.5699999999997</v>
      </c>
      <c r="H565" s="89">
        <f t="shared" si="49"/>
        <v>0</v>
      </c>
      <c r="I565" s="89">
        <f t="shared" si="49"/>
        <v>0</v>
      </c>
      <c r="J565" s="89">
        <f t="shared" si="49"/>
        <v>0</v>
      </c>
      <c r="K565" s="89">
        <f t="shared" si="49"/>
        <v>0</v>
      </c>
      <c r="L565" s="89">
        <f t="shared" si="49"/>
        <v>41159.119999999995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50">SUM(G567:G569)</f>
        <v>0</v>
      </c>
      <c r="H570" s="193">
        <f t="shared" si="50"/>
        <v>0</v>
      </c>
      <c r="I570" s="193">
        <f t="shared" si="50"/>
        <v>0</v>
      </c>
      <c r="J570" s="193">
        <f t="shared" si="50"/>
        <v>0</v>
      </c>
      <c r="K570" s="193">
        <f t="shared" si="50"/>
        <v>0</v>
      </c>
      <c r="L570" s="193">
        <f t="shared" si="50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38143.550000000003</v>
      </c>
      <c r="G571" s="89">
        <f t="shared" ref="G571:L571" si="51">G560+G565+G570</f>
        <v>3015.5699999999997</v>
      </c>
      <c r="H571" s="89">
        <f t="shared" si="51"/>
        <v>0</v>
      </c>
      <c r="I571" s="89">
        <f t="shared" si="51"/>
        <v>0</v>
      </c>
      <c r="J571" s="89">
        <f t="shared" si="51"/>
        <v>0</v>
      </c>
      <c r="K571" s="89">
        <f t="shared" si="51"/>
        <v>0</v>
      </c>
      <c r="L571" s="89">
        <f t="shared" si="51"/>
        <v>41159.119999999995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11093.43</v>
      </c>
      <c r="I575" s="87">
        <f>SUM(F575:H575)</f>
        <v>11093.43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52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52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52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>
        <v>31153.75</v>
      </c>
      <c r="H579" s="18"/>
      <c r="I579" s="87">
        <f t="shared" si="52"/>
        <v>31153.75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52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52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>
        <v>195552.11</v>
      </c>
      <c r="H582" s="18">
        <v>101477.91</v>
      </c>
      <c r="I582" s="87">
        <f t="shared" si="52"/>
        <v>297030.02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>
        <v>134072.15</v>
      </c>
      <c r="I583" s="87">
        <f t="shared" si="52"/>
        <v>134072.15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26788.68</v>
      </c>
      <c r="I584" s="87">
        <f t="shared" si="52"/>
        <v>26788.68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52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52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52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141345.67000000001</v>
      </c>
      <c r="I591" s="18">
        <f>149911.86+270</f>
        <v>150181.85999999999</v>
      </c>
      <c r="J591" s="18">
        <v>141345.47</v>
      </c>
      <c r="K591" s="104">
        <f t="shared" ref="K591:K597" si="53">SUM(H591:J591)</f>
        <v>432873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110973.31+2.8</f>
        <v>110976.11</v>
      </c>
      <c r="I592" s="18">
        <v>69051.929999999993</v>
      </c>
      <c r="J592" s="18">
        <v>66585.789999999994</v>
      </c>
      <c r="K592" s="104">
        <f t="shared" si="53"/>
        <v>246613.82999999996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16203.28</v>
      </c>
      <c r="K593" s="104">
        <f t="shared" si="53"/>
        <v>16203.28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11251.89</v>
      </c>
      <c r="J594" s="18">
        <v>55399.27</v>
      </c>
      <c r="K594" s="104">
        <f t="shared" si="53"/>
        <v>66651.16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1521.42</v>
      </c>
      <c r="I595" s="18">
        <v>5868</v>
      </c>
      <c r="J595" s="18">
        <v>9081.82</v>
      </c>
      <c r="K595" s="104">
        <f t="shared" si="53"/>
        <v>16471.239999999998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53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53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253843.20000000004</v>
      </c>
      <c r="I598" s="108">
        <f>SUM(I591:I597)</f>
        <v>236353.68</v>
      </c>
      <c r="J598" s="108">
        <f>SUM(J591:J597)</f>
        <v>288615.63</v>
      </c>
      <c r="K598" s="108">
        <f>SUM(K591:K597)</f>
        <v>778812.51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>
        <v>7500</v>
      </c>
      <c r="K603" s="104">
        <f>SUM(H603:J603)</f>
        <v>7500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33671.31+16028.43+623.11</f>
        <v>50322.85</v>
      </c>
      <c r="I604" s="18">
        <f>67669.35+16028.43</f>
        <v>83697.78</v>
      </c>
      <c r="J604" s="18">
        <f>49923.95-7500+16028.44</f>
        <v>58452.39</v>
      </c>
      <c r="K604" s="104">
        <f>SUM(H604:J604)</f>
        <v>192473.02000000002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50322.85</v>
      </c>
      <c r="I605" s="108">
        <f>SUM(I602:I604)</f>
        <v>83697.78</v>
      </c>
      <c r="J605" s="108">
        <f>SUM(J602:J604)</f>
        <v>65952.39</v>
      </c>
      <c r="K605" s="108">
        <f>SUM(K602:K604)</f>
        <v>199973.02000000002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10936</v>
      </c>
      <c r="G611" s="18">
        <v>2053</v>
      </c>
      <c r="H611" s="18"/>
      <c r="I611" s="18"/>
      <c r="J611" s="18"/>
      <c r="K611" s="18"/>
      <c r="L611" s="88">
        <f>SUM(F611:K611)</f>
        <v>12989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19453.5</v>
      </c>
      <c r="G612" s="18">
        <v>3313.41</v>
      </c>
      <c r="H612" s="18"/>
      <c r="I612" s="18"/>
      <c r="J612" s="18"/>
      <c r="K612" s="18"/>
      <c r="L612" s="88">
        <f>SUM(F612:K612)</f>
        <v>22766.91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10459.1</v>
      </c>
      <c r="G613" s="18">
        <v>2171.5</v>
      </c>
      <c r="H613" s="18"/>
      <c r="I613" s="18"/>
      <c r="J613" s="18"/>
      <c r="K613" s="18"/>
      <c r="L613" s="88">
        <f>SUM(F613:K613)</f>
        <v>12630.6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54">SUM(F611:F613)</f>
        <v>40848.6</v>
      </c>
      <c r="G614" s="108">
        <f t="shared" si="54"/>
        <v>7537.91</v>
      </c>
      <c r="H614" s="108">
        <f t="shared" si="54"/>
        <v>0</v>
      </c>
      <c r="I614" s="108">
        <f t="shared" si="54"/>
        <v>0</v>
      </c>
      <c r="J614" s="108">
        <f t="shared" si="54"/>
        <v>0</v>
      </c>
      <c r="K614" s="108">
        <f t="shared" si="54"/>
        <v>0</v>
      </c>
      <c r="L614" s="89">
        <f t="shared" si="54"/>
        <v>48386.51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1573314.45</v>
      </c>
      <c r="H617" s="109">
        <f>SUM(F52)</f>
        <v>1573314.4500000002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81476.929999999993</v>
      </c>
      <c r="H618" s="109">
        <f>SUM(G52)</f>
        <v>81476.929999999993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77726.259999999995</v>
      </c>
      <c r="H619" s="109">
        <f>SUM(H52)</f>
        <v>77726.260000000009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104497.02</v>
      </c>
      <c r="H621" s="109">
        <f>SUM(J52)</f>
        <v>104497.02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928720</v>
      </c>
      <c r="H622" s="109">
        <f>F476</f>
        <v>928719.99999999627</v>
      </c>
      <c r="I622" s="121" t="s">
        <v>101</v>
      </c>
      <c r="J622" s="109">
        <f t="shared" ref="J622:J655" si="55">G622-H622</f>
        <v>3.7252902984619141E-9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70659.95</v>
      </c>
      <c r="H623" s="109">
        <f>G476</f>
        <v>70659.949999999953</v>
      </c>
      <c r="I623" s="121" t="s">
        <v>102</v>
      </c>
      <c r="J623" s="109">
        <f t="shared" si="55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5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5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104497.02</v>
      </c>
      <c r="H626" s="109">
        <f>J476</f>
        <v>104497.02</v>
      </c>
      <c r="I626" s="140" t="s">
        <v>105</v>
      </c>
      <c r="J626" s="109">
        <f t="shared" si="55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19777071.900000002</v>
      </c>
      <c r="H627" s="104">
        <f>SUM(F468)</f>
        <v>19777071.899999999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546167.34</v>
      </c>
      <c r="H628" s="104">
        <f>SUM(G468)</f>
        <v>546167.34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452054.61</v>
      </c>
      <c r="H629" s="104">
        <f>SUM(H468)</f>
        <v>452054.61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261.10000000000002</v>
      </c>
      <c r="H631" s="104">
        <f>SUM(J468)</f>
        <v>261.10000000000002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19361149.370000001</v>
      </c>
      <c r="H632" s="104">
        <f>SUM(F472)</f>
        <v>19361149.370000001</v>
      </c>
      <c r="I632" s="140" t="s">
        <v>111</v>
      </c>
      <c r="J632" s="109">
        <f t="shared" si="55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452054.61</v>
      </c>
      <c r="H633" s="104">
        <f>SUM(H472)</f>
        <v>452054.61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268744.15999999997</v>
      </c>
      <c r="H634" s="104">
        <f>I369</f>
        <v>268744.16000000003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546358.97</v>
      </c>
      <c r="H635" s="104">
        <f>SUM(G472)</f>
        <v>546358.97</v>
      </c>
      <c r="I635" s="140" t="s">
        <v>114</v>
      </c>
      <c r="J635" s="109">
        <f t="shared" si="55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5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261.10000000000002</v>
      </c>
      <c r="H637" s="164">
        <f>SUM(J468)</f>
        <v>261.10000000000002</v>
      </c>
      <c r="I637" s="165" t="s">
        <v>110</v>
      </c>
      <c r="J637" s="151">
        <f t="shared" si="55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5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5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104497.02</v>
      </c>
      <c r="H640" s="104">
        <f>SUM(G461)</f>
        <v>104497.02</v>
      </c>
      <c r="I640" s="140" t="s">
        <v>858</v>
      </c>
      <c r="J640" s="109">
        <f t="shared" si="55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5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104497.02</v>
      </c>
      <c r="H642" s="104">
        <f>SUM(I461)</f>
        <v>104497.02</v>
      </c>
      <c r="I642" s="140" t="s">
        <v>860</v>
      </c>
      <c r="J642" s="109">
        <f t="shared" si="55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5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261.10000000000002</v>
      </c>
      <c r="H644" s="104">
        <f>H408</f>
        <v>261.10000000000002</v>
      </c>
      <c r="I644" s="140" t="s">
        <v>481</v>
      </c>
      <c r="J644" s="109">
        <f t="shared" si="55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5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261.10000000000002</v>
      </c>
      <c r="H646" s="104">
        <f>L408</f>
        <v>261.10000000000002</v>
      </c>
      <c r="I646" s="140" t="s">
        <v>478</v>
      </c>
      <c r="J646" s="109">
        <f t="shared" si="55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778812.51</v>
      </c>
      <c r="H647" s="104">
        <f>L208+L226+L244</f>
        <v>778812.51</v>
      </c>
      <c r="I647" s="140" t="s">
        <v>397</v>
      </c>
      <c r="J647" s="109">
        <f t="shared" si="55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199973.02000000002</v>
      </c>
      <c r="H648" s="104">
        <f>(J257+J338)-(J255+J336)</f>
        <v>199973.02</v>
      </c>
      <c r="I648" s="140" t="s">
        <v>703</v>
      </c>
      <c r="J648" s="109">
        <f t="shared" si="55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253843.20000000001</v>
      </c>
      <c r="H649" s="104">
        <f>H598</f>
        <v>253843.20000000004</v>
      </c>
      <c r="I649" s="140" t="s">
        <v>389</v>
      </c>
      <c r="J649" s="109">
        <f t="shared" si="55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236353.68</v>
      </c>
      <c r="H650" s="104">
        <f>I598</f>
        <v>236353.68</v>
      </c>
      <c r="I650" s="140" t="s">
        <v>390</v>
      </c>
      <c r="J650" s="109">
        <f t="shared" si="55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288615.63</v>
      </c>
      <c r="H651" s="104">
        <f>J598</f>
        <v>288615.63</v>
      </c>
      <c r="I651" s="140" t="s">
        <v>391</v>
      </c>
      <c r="J651" s="109">
        <f t="shared" si="55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5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5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5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5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5950993.3000000007</v>
      </c>
      <c r="G660" s="19">
        <f>(L229+L309+L359)</f>
        <v>6204497.9099999992</v>
      </c>
      <c r="H660" s="19">
        <f>(L247+L328+L360)</f>
        <v>7222116.1500000022</v>
      </c>
      <c r="I660" s="19">
        <f>SUM(F660:H660)</f>
        <v>19377607.360000003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101827.35855697747</v>
      </c>
      <c r="G661" s="19">
        <f>(L359/IF(SUM(L358:L360)=0,1,SUM(L358:L360))*(SUM(G97:G110)))</f>
        <v>149769.68330164487</v>
      </c>
      <c r="H661" s="19">
        <f>(L360/IF(SUM(L358:L360)=0,1,SUM(L358:L360))*(SUM(G97:G110)))</f>
        <v>197446.86814137764</v>
      </c>
      <c r="I661" s="19">
        <f>SUM(F661:H661)</f>
        <v>449043.91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253843.20000000001</v>
      </c>
      <c r="G662" s="19">
        <f>(L226+L306)-(J226+J306)</f>
        <v>236353.68</v>
      </c>
      <c r="H662" s="19">
        <f>(L244+L325)-(J244+J325)</f>
        <v>288615.63</v>
      </c>
      <c r="I662" s="19">
        <f>SUM(F662:H662)</f>
        <v>778812.51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63311.85</v>
      </c>
      <c r="G663" s="199">
        <f>SUM(G575:G587)+SUM(I602:I604)+L612</f>
        <v>333170.55</v>
      </c>
      <c r="H663" s="199">
        <f>SUM(H575:H587)+SUM(J602:J604)+L613</f>
        <v>352015.16</v>
      </c>
      <c r="I663" s="19">
        <f>SUM(F663:H663)</f>
        <v>748497.55999999994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5532010.8914430235</v>
      </c>
      <c r="G664" s="19">
        <f>G660-SUM(G661:G663)</f>
        <v>5485203.9966983544</v>
      </c>
      <c r="H664" s="19">
        <f>H660-SUM(H661:H663)</f>
        <v>6384038.4918586249</v>
      </c>
      <c r="I664" s="19">
        <f>I660-SUM(I661:I663)</f>
        <v>17401253.380000003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421.59</v>
      </c>
      <c r="G665" s="248">
        <v>489.34</v>
      </c>
      <c r="H665" s="248">
        <v>466.64</v>
      </c>
      <c r="I665" s="19">
        <f>SUM(F665:H665)</f>
        <v>1377.57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13121.78</v>
      </c>
      <c r="G667" s="19">
        <f>ROUND(G664/G665,2)</f>
        <v>11209.39</v>
      </c>
      <c r="H667" s="19">
        <f>ROUND(H664/H665,2)</f>
        <v>13680.86</v>
      </c>
      <c r="I667" s="19">
        <f>ROUND(I664/I665,2)</f>
        <v>12631.85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-7.15</v>
      </c>
      <c r="I670" s="19">
        <f>SUM(F670:H670)</f>
        <v>-7.15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13121.78</v>
      </c>
      <c r="G672" s="19">
        <f>ROUND((G664+G669)/(G665+G670),2)</f>
        <v>11209.39</v>
      </c>
      <c r="H672" s="19">
        <f>ROUND((H664+H669)/(H665+H670),2)</f>
        <v>13893.75</v>
      </c>
      <c r="I672" s="19">
        <f>ROUND((I664+I669)/(I665+I670),2)</f>
        <v>12697.75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horizontalCentered="1" gridLines="1" gridLinesSet="0"/>
  <pageMargins left="0" right="0" top="0.25" bottom="0" header="0.5" footer="0.5"/>
  <pageSetup scale="90" fitToHeight="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16383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9" zoomScaleNormal="100" workbookViewId="0">
      <selection activeCell="B26" sqref="B26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LITCHFIELD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5131017.0100000007</v>
      </c>
      <c r="C9" s="229">
        <f>'DOE25'!G197+'DOE25'!G215+'DOE25'!G233+'DOE25'!G276+'DOE25'!G295+'DOE25'!G314</f>
        <v>2277795.63</v>
      </c>
    </row>
    <row r="10" spans="1:3" x14ac:dyDescent="0.2">
      <c r="A10" t="s">
        <v>779</v>
      </c>
      <c r="B10" s="240">
        <f>4734812.26+24756.25</f>
        <v>4759568.51</v>
      </c>
      <c r="C10" s="240">
        <v>2247955.4500000002</v>
      </c>
    </row>
    <row r="11" spans="1:3" x14ac:dyDescent="0.2">
      <c r="A11" t="s">
        <v>780</v>
      </c>
      <c r="B11" s="240">
        <v>85891.55</v>
      </c>
      <c r="C11" s="240">
        <v>6836.97</v>
      </c>
    </row>
    <row r="12" spans="1:3" x14ac:dyDescent="0.2">
      <c r="A12" t="s">
        <v>781</v>
      </c>
      <c r="B12" s="240">
        <f>286455.17-898.22</f>
        <v>285556.95</v>
      </c>
      <c r="C12" s="240">
        <f>22801.83+201.38</f>
        <v>23003.210000000003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5131017.01</v>
      </c>
      <c r="C13" s="231">
        <f>SUM(C10:C12)</f>
        <v>2277795.6300000004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1710254.9100000004</v>
      </c>
      <c r="C18" s="229">
        <f>'DOE25'!G198+'DOE25'!G216+'DOE25'!G234+'DOE25'!G277+'DOE25'!G296+'DOE25'!G315</f>
        <v>470397.96000000008</v>
      </c>
    </row>
    <row r="19" spans="1:3" x14ac:dyDescent="0.2">
      <c r="A19" t="s">
        <v>779</v>
      </c>
      <c r="B19" s="240">
        <v>806701.85</v>
      </c>
      <c r="C19" s="240">
        <v>398475.14</v>
      </c>
    </row>
    <row r="20" spans="1:3" x14ac:dyDescent="0.2">
      <c r="A20" t="s">
        <v>780</v>
      </c>
      <c r="B20" s="240">
        <v>814708.31</v>
      </c>
      <c r="C20" s="240">
        <v>64850.78</v>
      </c>
    </row>
    <row r="21" spans="1:3" x14ac:dyDescent="0.2">
      <c r="A21" t="s">
        <v>781</v>
      </c>
      <c r="B21" s="240">
        <v>88844.75</v>
      </c>
      <c r="C21" s="240">
        <v>7072.04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1710254.9100000001</v>
      </c>
      <c r="C22" s="231">
        <f>SUM(C19:C21)</f>
        <v>470397.96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273936.09999999998</v>
      </c>
      <c r="C36" s="235">
        <f>'DOE25'!G200+'DOE25'!G218+'DOE25'!G236+'DOE25'!G279+'DOE25'!G298+'DOE25'!G317</f>
        <v>66987.570000000007</v>
      </c>
    </row>
    <row r="37" spans="1:3" x14ac:dyDescent="0.2">
      <c r="A37" t="s">
        <v>779</v>
      </c>
      <c r="B37" s="240">
        <v>203096.1</v>
      </c>
      <c r="C37" s="240">
        <v>29632.83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70840</v>
      </c>
      <c r="C39" s="240">
        <f>37372.09-17.35</f>
        <v>37354.74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273936.09999999998</v>
      </c>
      <c r="C40" s="231">
        <f>SUM(C37:C39)</f>
        <v>66987.570000000007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LITCHFIELD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10858142.84</v>
      </c>
      <c r="D5" s="20">
        <f>SUM('DOE25'!L197:L200)+SUM('DOE25'!L215:L218)+SUM('DOE25'!L233:L236)-F5-G5</f>
        <v>10780546.949999999</v>
      </c>
      <c r="E5" s="243"/>
      <c r="F5" s="255">
        <f>SUM('DOE25'!J197:J200)+SUM('DOE25'!J215:J218)+SUM('DOE25'!J233:J236)</f>
        <v>44918.58</v>
      </c>
      <c r="G5" s="53">
        <f>SUM('DOE25'!K197:K200)+SUM('DOE25'!K215:K218)+SUM('DOE25'!K233:K236)</f>
        <v>32677.309999999998</v>
      </c>
      <c r="H5" s="259"/>
    </row>
    <row r="6" spans="1:9" x14ac:dyDescent="0.2">
      <c r="A6" s="32">
        <v>2100</v>
      </c>
      <c r="B6" t="s">
        <v>801</v>
      </c>
      <c r="C6" s="245">
        <f t="shared" si="0"/>
        <v>1535628.8800000001</v>
      </c>
      <c r="D6" s="20">
        <f>'DOE25'!L202+'DOE25'!L220+'DOE25'!L238-F6-G6</f>
        <v>1525165.99</v>
      </c>
      <c r="E6" s="243"/>
      <c r="F6" s="255">
        <f>'DOE25'!J202+'DOE25'!J220+'DOE25'!J238</f>
        <v>7555.83</v>
      </c>
      <c r="G6" s="53">
        <f>'DOE25'!K202+'DOE25'!K220+'DOE25'!K238</f>
        <v>2907.06</v>
      </c>
      <c r="H6" s="259"/>
    </row>
    <row r="7" spans="1:9" x14ac:dyDescent="0.2">
      <c r="A7" s="32">
        <v>2200</v>
      </c>
      <c r="B7" t="s">
        <v>834</v>
      </c>
      <c r="C7" s="245">
        <f t="shared" si="0"/>
        <v>609061.70000000007</v>
      </c>
      <c r="D7" s="20">
        <f>'DOE25'!L203+'DOE25'!L221+'DOE25'!L239-F7-G7</f>
        <v>558513.06000000006</v>
      </c>
      <c r="E7" s="243"/>
      <c r="F7" s="255">
        <f>'DOE25'!J203+'DOE25'!J221+'DOE25'!J239</f>
        <v>49747.05</v>
      </c>
      <c r="G7" s="53">
        <f>'DOE25'!K203+'DOE25'!K221+'DOE25'!K239</f>
        <v>801.58999999999992</v>
      </c>
      <c r="H7" s="259"/>
    </row>
    <row r="8" spans="1:9" x14ac:dyDescent="0.2">
      <c r="A8" s="32">
        <v>2300</v>
      </c>
      <c r="B8" t="s">
        <v>802</v>
      </c>
      <c r="C8" s="245">
        <f t="shared" si="0"/>
        <v>214214.50999999983</v>
      </c>
      <c r="D8" s="243"/>
      <c r="E8" s="20">
        <f>'DOE25'!L204+'DOE25'!L222+'DOE25'!L240-F8-G8-D9-D11</f>
        <v>203588.32999999984</v>
      </c>
      <c r="F8" s="255">
        <f>'DOE25'!J204+'DOE25'!J222+'DOE25'!J240</f>
        <v>392</v>
      </c>
      <c r="G8" s="53">
        <f>'DOE25'!K204+'DOE25'!K222+'DOE25'!K240</f>
        <v>10234.18</v>
      </c>
      <c r="H8" s="259"/>
    </row>
    <row r="9" spans="1:9" x14ac:dyDescent="0.2">
      <c r="A9" s="32">
        <v>2310</v>
      </c>
      <c r="B9" t="s">
        <v>818</v>
      </c>
      <c r="C9" s="245">
        <f t="shared" si="0"/>
        <v>96586</v>
      </c>
      <c r="D9" s="244">
        <v>96586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17786</v>
      </c>
      <c r="D10" s="243"/>
      <c r="E10" s="244">
        <v>17786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272209</v>
      </c>
      <c r="D11" s="244">
        <v>272209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1195928.1000000001</v>
      </c>
      <c r="D12" s="20">
        <f>'DOE25'!L205+'DOE25'!L223+'DOE25'!L241-F12-G12</f>
        <v>1172614.9000000001</v>
      </c>
      <c r="E12" s="243"/>
      <c r="F12" s="255">
        <f>'DOE25'!J205+'DOE25'!J223+'DOE25'!J241</f>
        <v>0</v>
      </c>
      <c r="G12" s="53">
        <f>'DOE25'!K205+'DOE25'!K223+'DOE25'!K241</f>
        <v>23313.199999999997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281965.86</v>
      </c>
      <c r="D13" s="243"/>
      <c r="E13" s="20">
        <f>'DOE25'!L206+'DOE25'!L224+'DOE25'!L242-F13-G13</f>
        <v>278564.89999999997</v>
      </c>
      <c r="F13" s="255">
        <f>'DOE25'!J206+'DOE25'!J224+'DOE25'!J242</f>
        <v>1356.5700000000002</v>
      </c>
      <c r="G13" s="53">
        <f>'DOE25'!K206+'DOE25'!K224+'DOE25'!K242</f>
        <v>2044.3900000000003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2024412.75</v>
      </c>
      <c r="D14" s="20">
        <f>'DOE25'!L207+'DOE25'!L225+'DOE25'!L243-F14-G14</f>
        <v>1991352.67</v>
      </c>
      <c r="E14" s="243"/>
      <c r="F14" s="255">
        <f>'DOE25'!J207+'DOE25'!J225+'DOE25'!J243</f>
        <v>33060.080000000002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778812.51</v>
      </c>
      <c r="D15" s="20">
        <f>'DOE25'!L208+'DOE25'!L226+'DOE25'!L244-F15-G15</f>
        <v>778812.51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512231.63</v>
      </c>
      <c r="D16" s="243"/>
      <c r="E16" s="20">
        <f>'DOE25'!L209+'DOE25'!L227+'DOE25'!L245-F16-G16</f>
        <v>454266.34</v>
      </c>
      <c r="F16" s="255">
        <f>'DOE25'!J209+'DOE25'!J227+'DOE25'!J245</f>
        <v>56391.670000000006</v>
      </c>
      <c r="G16" s="53">
        <f>'DOE25'!K209+'DOE25'!K227+'DOE25'!K245</f>
        <v>1573.62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265.01</v>
      </c>
      <c r="D17" s="20">
        <f>'DOE25'!L251-F17-G17</f>
        <v>265.01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90651.199999999997</v>
      </c>
      <c r="D22" s="243"/>
      <c r="E22" s="243"/>
      <c r="F22" s="255">
        <f>'DOE25'!L255+'DOE25'!L336</f>
        <v>90651.199999999997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867462.51</v>
      </c>
      <c r="D25" s="243"/>
      <c r="E25" s="243"/>
      <c r="F25" s="258"/>
      <c r="G25" s="256"/>
      <c r="H25" s="257">
        <f>'DOE25'!L260+'DOE25'!L261+'DOE25'!L341+'DOE25'!L342</f>
        <v>867462.51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289250.80999999994</v>
      </c>
      <c r="D29" s="20">
        <f>'DOE25'!L358+'DOE25'!L359+'DOE25'!L360-'DOE25'!I367-F29-G29</f>
        <v>265233.86</v>
      </c>
      <c r="E29" s="243"/>
      <c r="F29" s="255">
        <f>'DOE25'!J358+'DOE25'!J359+'DOE25'!J360</f>
        <v>23183.969999999998</v>
      </c>
      <c r="G29" s="53">
        <f>'DOE25'!K358+'DOE25'!K359+'DOE25'!K360</f>
        <v>832.98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452054.61</v>
      </c>
      <c r="D31" s="20">
        <f>'DOE25'!L290+'DOE25'!L309+'DOE25'!L328+'DOE25'!L333+'DOE25'!L334+'DOE25'!L335-F31-G31</f>
        <v>442679.87</v>
      </c>
      <c r="E31" s="243"/>
      <c r="F31" s="255">
        <f>'DOE25'!J290+'DOE25'!J309+'DOE25'!J328+'DOE25'!J333+'DOE25'!J334+'DOE25'!J335</f>
        <v>6551.24</v>
      </c>
      <c r="G31" s="53">
        <f>'DOE25'!K290+'DOE25'!K309+'DOE25'!K328+'DOE25'!K333+'DOE25'!K334+'DOE25'!K335</f>
        <v>2823.5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17883979.820000004</v>
      </c>
      <c r="E33" s="246">
        <f>SUM(E5:E31)</f>
        <v>954205.56999999983</v>
      </c>
      <c r="F33" s="246">
        <f>SUM(F5:F31)</f>
        <v>313808.19</v>
      </c>
      <c r="G33" s="246">
        <f>SUM(G5:G31)</f>
        <v>77207.829999999987</v>
      </c>
      <c r="H33" s="246">
        <f>SUM(H5:H31)</f>
        <v>867462.51</v>
      </c>
    </row>
    <row r="35" spans="2:8" ht="12" thickBot="1" x14ac:dyDescent="0.25">
      <c r="B35" s="253" t="s">
        <v>847</v>
      </c>
      <c r="D35" s="254">
        <f>E33</f>
        <v>954205.56999999983</v>
      </c>
      <c r="E35" s="249"/>
    </row>
    <row r="36" spans="2:8" ht="12" thickTop="1" x14ac:dyDescent="0.2">
      <c r="B36" t="s">
        <v>815</v>
      </c>
      <c r="D36" s="20">
        <f>D33</f>
        <v>17883979.820000004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7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LITCHFIELD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1528688.77</v>
      </c>
      <c r="D8" s="95">
        <f>'DOE25'!G9</f>
        <v>75826.12</v>
      </c>
      <c r="E8" s="95">
        <f>'DOE25'!H9</f>
        <v>0</v>
      </c>
      <c r="F8" s="95">
        <f>'DOE25'!I9</f>
        <v>0</v>
      </c>
      <c r="G8" s="95">
        <f>'DOE25'!J9</f>
        <v>104497.02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19253.07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7678.39</v>
      </c>
      <c r="D12" s="95">
        <f>'DOE25'!G13</f>
        <v>5650.81</v>
      </c>
      <c r="E12" s="95">
        <f>'DOE25'!H13</f>
        <v>77726.259999999995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17694.22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1573314.45</v>
      </c>
      <c r="D18" s="41">
        <f>SUM(D8:D17)</f>
        <v>81476.929999999993</v>
      </c>
      <c r="E18" s="41">
        <f>SUM(E8:E17)</f>
        <v>77726.259999999995</v>
      </c>
      <c r="F18" s="41">
        <f>SUM(F8:F17)</f>
        <v>0</v>
      </c>
      <c r="G18" s="41">
        <f>SUM(G8:G17)</f>
        <v>104497.02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19253.07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47567.88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60174.53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536852.04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10816.98</v>
      </c>
      <c r="E29" s="95">
        <f>'DOE25'!H30</f>
        <v>58473.19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644594.45000000007</v>
      </c>
      <c r="D31" s="41">
        <f>SUM(D21:D30)</f>
        <v>10816.98</v>
      </c>
      <c r="E31" s="41">
        <f>SUM(E21:E30)</f>
        <v>77726.260000000009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70659.95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104497.02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140101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738619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928720</v>
      </c>
      <c r="D50" s="41">
        <f>SUM(D34:D49)</f>
        <v>70659.95</v>
      </c>
      <c r="E50" s="41">
        <f>SUM(E34:E49)</f>
        <v>0</v>
      </c>
      <c r="F50" s="41">
        <f>SUM(F34:F49)</f>
        <v>0</v>
      </c>
      <c r="G50" s="41">
        <f>SUM(G34:G49)</f>
        <v>104497.02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1573314.4500000002</v>
      </c>
      <c r="D51" s="41">
        <f>D50+D31</f>
        <v>81476.929999999993</v>
      </c>
      <c r="E51" s="41">
        <f>E50+E31</f>
        <v>77726.260000000009</v>
      </c>
      <c r="F51" s="41">
        <f>F50+F31</f>
        <v>0</v>
      </c>
      <c r="G51" s="41">
        <f>G50+G31</f>
        <v>104497.02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11033655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63636.31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9199.76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363.14</v>
      </c>
      <c r="D59" s="95">
        <f>'DOE25'!G96</f>
        <v>7.05</v>
      </c>
      <c r="E59" s="95">
        <f>'DOE25'!H96</f>
        <v>0</v>
      </c>
      <c r="F59" s="95">
        <f>'DOE25'!I96</f>
        <v>0</v>
      </c>
      <c r="G59" s="95">
        <f>'DOE25'!J96</f>
        <v>261.10000000000002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449043.91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245933.43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319132.64</v>
      </c>
      <c r="D62" s="130">
        <f>SUM(D57:D61)</f>
        <v>449050.95999999996</v>
      </c>
      <c r="E62" s="130">
        <f>SUM(E57:E61)</f>
        <v>0</v>
      </c>
      <c r="F62" s="130">
        <f>SUM(F57:F61)</f>
        <v>0</v>
      </c>
      <c r="G62" s="130">
        <f>SUM(G57:G61)</f>
        <v>261.10000000000002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11352787.640000001</v>
      </c>
      <c r="D63" s="22">
        <f>D56+D62</f>
        <v>449050.95999999996</v>
      </c>
      <c r="E63" s="22">
        <f>E56+E62</f>
        <v>0</v>
      </c>
      <c r="F63" s="22">
        <f>F56+F62</f>
        <v>0</v>
      </c>
      <c r="G63" s="22">
        <f>G56+G62</f>
        <v>261.10000000000002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5875623.0999999996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1850157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7725780.0999999996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260786.84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275837.90000000002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5743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536624.74</v>
      </c>
      <c r="D78" s="130">
        <f>SUM(D72:D77)</f>
        <v>5743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8262404.8399999999</v>
      </c>
      <c r="D81" s="130">
        <f>SUM(D79:D80)+D78+D70</f>
        <v>5743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313958.32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161879.42000000001</v>
      </c>
      <c r="D88" s="95">
        <f>SUM('DOE25'!G153:G161)</f>
        <v>91373.38</v>
      </c>
      <c r="E88" s="95">
        <f>SUM('DOE25'!H153:H161)</f>
        <v>138096.28999999998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161879.42000000001</v>
      </c>
      <c r="D91" s="131">
        <f>SUM(D85:D90)</f>
        <v>91373.38</v>
      </c>
      <c r="E91" s="131">
        <f>SUM(E85:E90)</f>
        <v>452054.61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19777071.900000002</v>
      </c>
      <c r="D104" s="86">
        <f>D63+D81+D91+D103</f>
        <v>546167.34</v>
      </c>
      <c r="E104" s="86">
        <f>E63+E81+E91+E103</f>
        <v>452054.61</v>
      </c>
      <c r="F104" s="86">
        <f>F63+F81+F91+F103</f>
        <v>0</v>
      </c>
      <c r="G104" s="86">
        <f>G63+G81+G103</f>
        <v>261.10000000000002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7692606.2499999991</v>
      </c>
      <c r="D109" s="24" t="s">
        <v>289</v>
      </c>
      <c r="E109" s="95">
        <f>('DOE25'!L276)+('DOE25'!L295)+('DOE25'!L314)</f>
        <v>130106.09999999999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2679838.0699999998</v>
      </c>
      <c r="D110" s="24" t="s">
        <v>289</v>
      </c>
      <c r="E110" s="95">
        <f>('DOE25'!L277)+('DOE25'!L296)+('DOE25'!L315)</f>
        <v>191837.85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26788.68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458909.83999999997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23576.870000000003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265.01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10881984.719999997</v>
      </c>
      <c r="D115" s="86">
        <f>SUM(D109:D114)</f>
        <v>0</v>
      </c>
      <c r="E115" s="86">
        <f>SUM(E109:E114)</f>
        <v>321943.95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1535628.8800000001</v>
      </c>
      <c r="D118" s="24" t="s">
        <v>289</v>
      </c>
      <c r="E118" s="95">
        <f>+('DOE25'!L281)+('DOE25'!L300)+('DOE25'!L319)</f>
        <v>109715.31999999999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609061.70000000007</v>
      </c>
      <c r="D119" s="24" t="s">
        <v>289</v>
      </c>
      <c r="E119" s="95">
        <f>+('DOE25'!L282)+('DOE25'!L301)+('DOE25'!L320)</f>
        <v>20395.34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583009.50999999989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1195928.1000000001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281965.86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2024412.75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778812.51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512231.63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546358.97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7521050.9399999995</v>
      </c>
      <c r="D128" s="86">
        <f>SUM(D118:D127)</f>
        <v>546358.97</v>
      </c>
      <c r="E128" s="86">
        <f>SUM(E118:E127)</f>
        <v>130110.65999999999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90651.199999999997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800000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67462.509999999995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261.10000000000002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-261.10000000000002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958113.71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19361149.369999997</v>
      </c>
      <c r="D145" s="86">
        <f>(D115+D128+D144)</f>
        <v>546358.97</v>
      </c>
      <c r="E145" s="86">
        <f>(E115+E128+E144)</f>
        <v>452054.61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08/2000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02/2015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11685000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5.14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1285000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1285000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800000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800000</v>
      </c>
    </row>
    <row r="159" spans="1:9" x14ac:dyDescent="0.2">
      <c r="A159" s="22" t="s">
        <v>35</v>
      </c>
      <c r="B159" s="137">
        <f>'DOE25'!F498</f>
        <v>485000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485000</v>
      </c>
    </row>
    <row r="160" spans="1:9" x14ac:dyDescent="0.2">
      <c r="A160" s="22" t="s">
        <v>36</v>
      </c>
      <c r="B160" s="137">
        <f>'DOE25'!F499</f>
        <v>25462.5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25462.5</v>
      </c>
    </row>
    <row r="161" spans="1:7" x14ac:dyDescent="0.2">
      <c r="A161" s="22" t="s">
        <v>37</v>
      </c>
      <c r="B161" s="137">
        <f>'DOE25'!F500</f>
        <v>510462.5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510462.5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C4" sqref="C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LITCHFIELD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13122</v>
      </c>
    </row>
    <row r="5" spans="1:4" x14ac:dyDescent="0.2">
      <c r="B5" t="s">
        <v>704</v>
      </c>
      <c r="C5" s="179">
        <f>IF('DOE25'!G665+'DOE25'!G670=0,0,ROUND('DOE25'!G672,0))</f>
        <v>11209</v>
      </c>
    </row>
    <row r="6" spans="1:4" x14ac:dyDescent="0.2">
      <c r="B6" t="s">
        <v>62</v>
      </c>
      <c r="C6" s="179">
        <f>IF('DOE25'!H665+'DOE25'!H670=0,0,ROUND('DOE25'!H672,0))</f>
        <v>13894</v>
      </c>
    </row>
    <row r="7" spans="1:4" x14ac:dyDescent="0.2">
      <c r="B7" t="s">
        <v>705</v>
      </c>
      <c r="C7" s="179">
        <f>IF('DOE25'!I665+'DOE25'!I670=0,0,ROUND('DOE25'!I672,0))</f>
        <v>12698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7822712</v>
      </c>
      <c r="D10" s="182">
        <f>ROUND((C10/$C$28)*100,1)</f>
        <v>41.1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2871676</v>
      </c>
      <c r="D11" s="182">
        <f>ROUND((C11/$C$28)*100,1)</f>
        <v>15.1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26789</v>
      </c>
      <c r="D12" s="182">
        <f>ROUND((C12/$C$28)*100,1)</f>
        <v>0.1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458910</v>
      </c>
      <c r="D13" s="182">
        <f>ROUND((C13/$C$28)*100,1)</f>
        <v>2.4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1645344</v>
      </c>
      <c r="D15" s="182">
        <f t="shared" ref="D15:D27" si="0">ROUND((C15/$C$28)*100,1)</f>
        <v>8.6999999999999993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629457</v>
      </c>
      <c r="D16" s="182">
        <f t="shared" si="0"/>
        <v>3.3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1095241</v>
      </c>
      <c r="D17" s="182">
        <f t="shared" si="0"/>
        <v>5.8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1195928</v>
      </c>
      <c r="D18" s="182">
        <f t="shared" si="0"/>
        <v>6.3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281966</v>
      </c>
      <c r="D19" s="182">
        <f t="shared" si="0"/>
        <v>1.5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2024413</v>
      </c>
      <c r="D20" s="182">
        <f t="shared" si="0"/>
        <v>10.6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778813</v>
      </c>
      <c r="D21" s="182">
        <f t="shared" si="0"/>
        <v>4.0999999999999996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23577</v>
      </c>
      <c r="D23" s="182">
        <f t="shared" si="0"/>
        <v>0.1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265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67463</v>
      </c>
      <c r="D25" s="182">
        <f t="shared" si="0"/>
        <v>0.4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97315.090000000026</v>
      </c>
      <c r="D27" s="182">
        <f t="shared" si="0"/>
        <v>0.5</v>
      </c>
    </row>
    <row r="28" spans="1:4" x14ac:dyDescent="0.2">
      <c r="B28" s="187" t="s">
        <v>723</v>
      </c>
      <c r="C28" s="180">
        <f>SUM(C10:C27)</f>
        <v>19019869.09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90651</v>
      </c>
    </row>
    <row r="30" spans="1:4" x14ac:dyDescent="0.2">
      <c r="B30" s="187" t="s">
        <v>729</v>
      </c>
      <c r="C30" s="180">
        <f>SUM(C28:C29)</f>
        <v>19110520.09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800000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11033655</v>
      </c>
      <c r="D35" s="182">
        <f t="shared" ref="D35:D40" si="1">ROUND((C35/$C$41)*100,1)</f>
        <v>54.3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319400.79000000097</v>
      </c>
      <c r="D36" s="182">
        <f t="shared" si="1"/>
        <v>1.6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7725780</v>
      </c>
      <c r="D37" s="182">
        <f t="shared" si="1"/>
        <v>38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542368</v>
      </c>
      <c r="D38" s="182">
        <f t="shared" si="1"/>
        <v>2.7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705307</v>
      </c>
      <c r="D39" s="182">
        <f t="shared" si="1"/>
        <v>3.5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20326510.789999999</v>
      </c>
      <c r="D41" s="184">
        <f>SUM(D35:D40)</f>
        <v>100.10000000000001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24" sqref="C24:M2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LITCHFIELD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>
        <v>3</v>
      </c>
      <c r="B4" s="219">
        <v>24</v>
      </c>
      <c r="C4" s="286" t="s">
        <v>915</v>
      </c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2014-10-16T14:03:11Z</cp:lastPrinted>
  <dcterms:created xsi:type="dcterms:W3CDTF">1997-12-04T19:04:30Z</dcterms:created>
  <dcterms:modified xsi:type="dcterms:W3CDTF">2014-12-05T16:24:40Z</dcterms:modified>
</cp:coreProperties>
</file>