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90" i="1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3" i="10"/>
  <c r="C15" i="10"/>
  <c r="C17" i="10"/>
  <c r="C18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E115" i="2" s="1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J639" i="1" s="1"/>
  <c r="H639" i="1"/>
  <c r="G640" i="1"/>
  <c r="H640" i="1"/>
  <c r="G641" i="1"/>
  <c r="H641" i="1"/>
  <c r="G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K271" i="1" s="1"/>
  <c r="G257" i="1"/>
  <c r="G271" i="1" s="1"/>
  <c r="G164" i="2"/>
  <c r="C18" i="2"/>
  <c r="C26" i="10"/>
  <c r="L328" i="1"/>
  <c r="H660" i="1" s="1"/>
  <c r="H664" i="1" s="1"/>
  <c r="L351" i="1"/>
  <c r="I662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C22" i="13" s="1"/>
  <c r="H25" i="13"/>
  <c r="C25" i="13" s="1"/>
  <c r="J651" i="1"/>
  <c r="J634" i="1"/>
  <c r="H571" i="1"/>
  <c r="L560" i="1"/>
  <c r="F338" i="1"/>
  <c r="F352" i="1" s="1"/>
  <c r="G192" i="1"/>
  <c r="H192" i="1"/>
  <c r="E128" i="2"/>
  <c r="F552" i="1"/>
  <c r="C35" i="10"/>
  <c r="L309" i="1"/>
  <c r="D5" i="13"/>
  <c r="C5" i="13" s="1"/>
  <c r="E16" i="13"/>
  <c r="J645" i="1"/>
  <c r="L570" i="1"/>
  <c r="I571" i="1"/>
  <c r="I545" i="1"/>
  <c r="G36" i="2"/>
  <c r="L565" i="1"/>
  <c r="G545" i="1"/>
  <c r="L545" i="1"/>
  <c r="H545" i="1"/>
  <c r="K551" i="1"/>
  <c r="C138" i="2"/>
  <c r="C16" i="13"/>
  <c r="H33" i="13"/>
  <c r="E33" i="13" l="1"/>
  <c r="D35" i="13" s="1"/>
  <c r="I52" i="1"/>
  <c r="H620" i="1" s="1"/>
  <c r="G625" i="1"/>
  <c r="J625" i="1" s="1"/>
  <c r="K552" i="1"/>
  <c r="J636" i="1"/>
  <c r="J640" i="1"/>
  <c r="C16" i="10"/>
  <c r="C11" i="10"/>
  <c r="C123" i="2"/>
  <c r="C128" i="2" s="1"/>
  <c r="L211" i="1"/>
  <c r="L257" i="1" s="1"/>
  <c r="L271" i="1" s="1"/>
  <c r="G632" i="1" s="1"/>
  <c r="J632" i="1" s="1"/>
  <c r="C63" i="2"/>
  <c r="J61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G635" i="1"/>
  <c r="J635" i="1" s="1"/>
  <c r="F51" i="2" l="1"/>
  <c r="H646" i="1"/>
  <c r="J646" i="1" s="1"/>
  <c r="C28" i="10"/>
  <c r="D23" i="10" s="1"/>
  <c r="C145" i="2"/>
  <c r="F660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0" i="10" l="1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<sst xmlns="http://schemas.openxmlformats.org/spreadsheetml/2006/main" count="3959" uniqueCount="914">
  <si>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</si>
  <si>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</si>
  <si>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</si>
  <si>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</si>
  <si>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</si>
  <si>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</si>
  <si>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</si>
  <si>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</si>
  <si>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</si>
  <si>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</si>
  <si>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</si>
  <si>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</si>
  <si>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</si>
  <si>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</si>
  <si>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</si>
  <si>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</si>
  <si>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</si>
  <si>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</si>
  <si>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</si>
  <si>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</si>
  <si>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</si>
  <si>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</si>
  <si>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</si>
  <si>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</si>
  <si>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</si>
  <si>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</si>
  <si>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</si>
  <si>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</si>
  <si>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</si>
  <si>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</si>
  <si>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</si>
  <si>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</si>
  <si>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</si>
  <si>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</si>
  <si>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</si>
  <si>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</si>
  <si>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</si>
  <si>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</si>
  <si>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</si>
  <si>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</si>
  <si>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</si>
  <si>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</si>
  <si>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</si>
  <si>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</si>
  <si>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</si>
  <si>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</si>
  <si>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</si>
  <si>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</si>
  <si>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</si>
  <si>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</si>
  <si>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</si>
  <si>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</si>
  <si>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</si>
  <si>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</si>
  <si>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</si>
  <si>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</si>
  <si>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</si>
  <si>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</si>
  <si>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</si>
  <si>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</si>
  <si>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</si>
  <si>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</si>
  <si>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</si>
  <si>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</si>
  <si>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</si>
  <si>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</si>
  <si>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</si>
  <si>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</si>
  <si>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</si>
  <si>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</si>
  <si>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</si>
  <si>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</si>
  <si>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</si>
  <si>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</si>
  <si>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</si>
  <si>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</si>
  <si>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</si>
  <si>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</si>
  <si>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</si>
  <si>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</si>
  <si>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</si>
  <si>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</si>
  <si>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</si>
  <si>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</si>
  <si>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</si>
  <si>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</si>
  <si>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</si>
  <si>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</si>
  <si>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</si>
  <si>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</si>
  <si>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</si>
  <si>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</si>
  <si>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</si>
  <si>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</si>
  <si>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</si>
  <si>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</si>
  <si>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</si>
  <si>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</si>
  <si>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</si>
  <si>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</si>
  <si>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</si>
  <si>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</si>
  <si>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</si>
  <si>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</si>
  <si>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</si>
  <si>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</si>
  <si>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</si>
  <si>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</si>
  <si>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</si>
  <si>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</si>
  <si>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</si>
  <si>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</si>
  <si>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</si>
  <si>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</si>
  <si>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</si>
  <si>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</si>
  <si>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</si>
  <si>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</si>
  <si>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</si>
  <si>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</si>
  <si>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</si>
  <si>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</si>
  <si>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</si>
  <si>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</si>
  <si>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</si>
  <si>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</si>
  <si>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</si>
  <si>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</si>
  <si>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</si>
  <si>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</si>
  <si>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</si>
  <si>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</si>
  <si>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</si>
  <si>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</si>
  <si>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</si>
  <si>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</si>
  <si>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</si>
  <si>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</si>
  <si>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</si>
  <si>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</si>
  <si>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</si>
  <si>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</si>
  <si>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</si>
  <si>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</si>
  <si>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</si>
  <si>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</si>
  <si>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</si>
  <si>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</si>
  <si>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</si>
  <si>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</si>
  <si>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</si>
  <si>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</si>
  <si>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</si>
  <si>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</si>
  <si>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</si>
  <si>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</si>
  <si>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</si>
  <si>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</si>
  <si>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</si>
  <si>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</si>
  <si>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</si>
  <si>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</si>
  <si>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</si>
  <si>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</si>
  <si>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</si>
  <si>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</si>
  <si>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</si>
  <si>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</si>
  <si>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</si>
  <si>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</si>
  <si>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</si>
  <si>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</si>
  <si>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</si>
  <si>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</si>
  <si>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</si>
  <si>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</si>
  <si>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</si>
  <si>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</si>
  <si>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</si>
  <si>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</si>
  <si>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</si>
  <si>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</si>
  <si>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</si>
  <si>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</si>
  <si>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</si>
  <si>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</si>
  <si>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</si>
  <si>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</si>
  <si>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</si>
  <si>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</si>
  <si>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</si>
  <si>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</si>
  <si>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</si>
  <si>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</si>
  <si>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</si>
  <si>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</si>
  <si>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</si>
  <si>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</si>
  <si>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</si>
  <si>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</si>
  <si>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</si>
  <si>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</si>
  <si>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</si>
  <si>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</si>
  <si>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</si>
  <si>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</si>
  <si>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</si>
  <si>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</si>
  <si>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</si>
  <si>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</si>
  <si>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</si>
  <si>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</si>
  <si>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</si>
  <si>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</si>
  <si>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</si>
  <si>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</si>
  <si>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</si>
  <si>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</si>
  <si>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</si>
  <si>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</si>
  <si>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</si>
  <si>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</si>
  <si>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</si>
  <si>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</si>
  <si>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</si>
  <si>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</si>
  <si>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</si>
  <si>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</si>
  <si>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</si>
  <si>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</si>
  <si>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</si>
  <si>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</si>
  <si>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</si>
  <si>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</si>
  <si>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</si>
  <si>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</si>
  <si>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</si>
  <si>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</si>
  <si>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</si>
  <si>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</si>
  <si>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</si>
  <si>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</si>
  <si>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</si>
  <si>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</si>
  <si>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</si>
  <si>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</si>
  <si>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</si>
  <si>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</si>
  <si>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</si>
  <si>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</si>
  <si>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</si>
  <si>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</si>
  <si>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</si>
  <si>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</si>
  <si>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</si>
  <si>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</si>
  <si>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</si>
  <si>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</si>
  <si>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</si>
  <si>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</si>
  <si>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</si>
  <si>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</si>
  <si>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</si>
  <si>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</si>
  <si>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</si>
  <si>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</si>
  <si>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</si>
  <si>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</si>
  <si>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</si>
  <si>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</si>
  <si>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</si>
  <si>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</si>
  <si>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</si>
  <si>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</si>
  <si>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</si>
  <si>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</si>
  <si>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</si>
  <si>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</si>
  <si>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</si>
  <si>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</si>
  <si>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</si>
  <si>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</si>
  <si>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</si>
  <si>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</si>
  <si>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</si>
  <si>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</si>
  <si>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</si>
  <si>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</si>
  <si>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</si>
  <si>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</si>
  <si>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</si>
  <si>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</si>
  <si>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</si>
  <si>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</si>
  <si>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</si>
  <si>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</si>
  <si>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</si>
  <si>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</si>
  <si>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</si>
  <si>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</si>
  <si>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</si>
  <si>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</si>
  <si>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</si>
  <si>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</si>
  <si>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</si>
  <si>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</si>
  <si>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</si>
  <si>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</si>
  <si>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</si>
  <si>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</si>
  <si>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</si>
  <si>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</si>
  <si>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</si>
  <si>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</si>
  <si>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</si>
  <si>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</si>
  <si>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</si>
  <si>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</si>
  <si>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</si>
  <si>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</si>
  <si>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</si>
  <si>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</si>
  <si>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</si>
  <si>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</si>
  <si>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</si>
  <si>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</si>
  <si>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</si>
  <si>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</si>
  <si>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</si>
  <si>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</si>
  <si>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</si>
  <si>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</si>
  <si>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</si>
  <si>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</si>
  <si>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</si>
  <si>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</si>
  <si>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</si>
  <si>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</si>
  <si>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</si>
  <si>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</si>
  <si>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</si>
  <si>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</si>
  <si>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</si>
  <si>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</si>
  <si>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</si>
  <si>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</si>
  <si>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</si>
  <si>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</si>
  <si>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</si>
  <si>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</si>
  <si>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</si>
  <si>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</si>
  <si>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</si>
  <si>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</si>
  <si>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</si>
  <si>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</si>
  <si>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</si>
  <si>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</si>
  <si>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</si>
  <si>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</si>
  <si>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</si>
  <si>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</si>
  <si>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</si>
  <si>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</si>
  <si>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</si>
  <si>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</si>
  <si>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</si>
  <si>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</si>
  <si>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</si>
  <si>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</si>
  <si>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</si>
  <si>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</si>
  <si>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</si>
  <si>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</si>
  <si>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</si>
  <si>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</si>
  <si>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</si>
  <si>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</si>
  <si>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</si>
  <si>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</si>
  <si>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</si>
  <si>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</si>
  <si>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</si>
  <si>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</si>
  <si>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</si>
  <si>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</si>
  <si>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</si>
  <si>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</si>
  <si>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</si>
  <si>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</si>
  <si>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</si>
  <si>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</si>
  <si>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</si>
  <si>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</si>
  <si>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</si>
  <si>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</si>
  <si>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</si>
  <si>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</si>
  <si>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</si>
  <si>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</si>
  <si>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</si>
  <si>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</si>
  <si>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</si>
  <si>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</si>
  <si>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</si>
  <si>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</si>
  <si>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</si>
  <si>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</si>
  <si>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</si>
  <si>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</si>
  <si>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</si>
  <si>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</si>
  <si>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</si>
  <si>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</si>
  <si>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</si>
  <si>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</si>
  <si>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</si>
  <si>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</si>
  <si>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</si>
  <si>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</si>
  <si>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</si>
  <si>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</si>
  <si>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</si>
  <si>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</si>
  <si>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</si>
  <si>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</si>
  <si>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</si>
  <si>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</si>
  <si>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</si>
  <si>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</si>
  <si>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</si>
  <si>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</si>
  <si>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</si>
  <si>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</si>
  <si>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</si>
  <si>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</si>
  <si>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</si>
  <si>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</si>
  <si>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</si>
  <si>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</si>
  <si>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</si>
  <si>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</si>
  <si>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</si>
  <si>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</si>
  <si>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</si>
  <si>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</si>
  <si>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</si>
  <si>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</si>
  <si>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</si>
  <si>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</si>
  <si>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</si>
  <si>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</si>
  <si>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</si>
  <si>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</si>
  <si>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</si>
  <si>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</si>
  <si>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</si>
  <si>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</si>
  <si>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</si>
  <si>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</si>
  <si>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</si>
  <si>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</si>
  <si>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</si>
  <si>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</si>
  <si>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</si>
  <si>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</si>
  <si>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</si>
  <si>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</si>
  <si>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</si>
  <si>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</si>
  <si>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</si>
  <si>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</si>
  <si>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</si>
  <si>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</si>
  <si>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</si>
  <si>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</si>
  <si>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</si>
  <si>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</si>
  <si>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</si>
  <si>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</si>
  <si>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</si>
  <si>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</si>
  <si>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</si>
  <si>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</si>
  <si>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</si>
  <si>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</si>
  <si>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</si>
  <si>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</si>
  <si>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</si>
  <si>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</si>
  <si>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</si>
  <si>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</si>
  <si>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</si>
  <si>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</si>
  <si>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</si>
  <si>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</si>
  <si>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</si>
  <si>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</si>
  <si>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</si>
  <si>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</si>
  <si>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</si>
  <si>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</si>
  <si>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</si>
  <si>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</si>
  <si>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</si>
  <si>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</si>
  <si>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</si>
  <si>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</si>
  <si>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</si>
  <si>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</si>
  <si>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</si>
  <si>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</si>
  <si>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</si>
  <si>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</si>
  <si>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</si>
  <si>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</si>
  <si>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</si>
  <si>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</si>
  <si>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</si>
  <si>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</si>
  <si>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</si>
  <si>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</si>
  <si>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</si>
  <si>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</si>
  <si>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</si>
  <si>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</si>
  <si>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</si>
  <si>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</si>
  <si>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</si>
  <si>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</si>
  <si>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</si>
  <si>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</si>
  <si>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</si>
  <si>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</si>
  <si>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</si>
  <si>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</si>
  <si>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</si>
  <si>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</si>
  <si>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</si>
  <si>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</si>
  <si>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</si>
  <si>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</si>
  <si>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</si>
  <si>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</si>
  <si>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</si>
  <si>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</si>
  <si>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</si>
  <si>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</si>
  <si>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</si>
  <si>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</si>
  <si>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</si>
  <si>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</si>
  <si>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</si>
  <si>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</si>
  <si>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</si>
  <si>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</si>
  <si>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</si>
  <si>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</si>
  <si>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</si>
  <si>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</si>
  <si>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</si>
  <si>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</si>
  <si>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</si>
  <si>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</si>
  <si>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</si>
  <si>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</si>
  <si>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</si>
  <si>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</si>
  <si>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</si>
  <si>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</si>
  <si>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</si>
  <si>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</si>
  <si>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</si>
  <si>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</si>
  <si>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</si>
  <si>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</si>
  <si>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</si>
  <si>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</si>
  <si>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</si>
  <si>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</si>
  <si>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</si>
  <si>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</si>
  <si>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</si>
  <si>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</si>
  <si>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</si>
  <si>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</si>
  <si>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</si>
  <si>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</si>
  <si>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</si>
  <si>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</si>
  <si>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</si>
  <si>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</si>
  <si>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</si>
  <si>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</si>
  <si>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</si>
  <si>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</si>
  <si>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</si>
  <si>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</si>
  <si>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</si>
  <si>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</si>
  <si>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</si>
  <si>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</si>
  <si>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</si>
  <si>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</si>
  <si>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</si>
  <si>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</si>
  <si>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</si>
  <si>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</si>
  <si>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</si>
  <si>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</si>
  <si>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</si>
  <si>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</si>
  <si>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</si>
  <si>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</si>
  <si>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</si>
  <si>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</si>
  <si>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</si>
  <si>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</si>
  <si>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</si>
  <si>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</si>
  <si>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</si>
  <si>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</si>
  <si>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</si>
  <si>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</si>
  <si>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</si>
  <si>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</si>
  <si>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</si>
  <si>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</si>
  <si>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</si>
  <si>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</si>
  <si>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</si>
  <si>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</si>
  <si>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</si>
  <si>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</si>
  <si>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</si>
  <si>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</si>
  <si>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</si>
  <si>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</si>
  <si>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</si>
  <si>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</si>
  <si>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</si>
  <si>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</si>
  <si>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</si>
  <si>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</si>
  <si>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</si>
  <si>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</si>
  <si>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</si>
  <si>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</si>
  <si>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</si>
  <si>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</si>
  <si>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</si>
  <si>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</si>
  <si>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</si>
  <si>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</si>
  <si>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</si>
  <si>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</si>
  <si>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</si>
  <si>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</si>
  <si>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</si>
  <si>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</si>
  <si>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</si>
  <si>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</si>
  <si>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</si>
  <si>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</si>
  <si>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</si>
  <si>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</si>
  <si>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</si>
  <si>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</si>
  <si>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</si>
  <si>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</si>
  <si>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</si>
  <si>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</si>
  <si>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</si>
  <si>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</si>
  <si>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</si>
  <si>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</si>
  <si>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</si>
  <si>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</si>
  <si>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</si>
  <si>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</si>
  <si>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</si>
  <si>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</si>
  <si>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</si>
  <si>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</si>
  <si>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</si>
  <si>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</si>
  <si>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</si>
  <si>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</si>
  <si>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</si>
  <si>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</si>
  <si>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</si>
  <si>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</si>
  <si>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</si>
  <si>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</si>
  <si>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</si>
  <si>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</si>
  <si>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</si>
  <si>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</si>
  <si>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</si>
  <si>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</si>
  <si>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</si>
  <si>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</si>
  <si>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</si>
  <si>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</si>
  <si>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</si>
  <si>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</si>
  <si>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</si>
  <si>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</si>
  <si>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</si>
  <si>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</si>
  <si>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</si>
  <si>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</si>
  <si>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</si>
  <si>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</si>
  <si>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</si>
  <si>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</si>
  <si>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</si>
  <si>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</si>
  <si>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</si>
  <si>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</si>
  <si>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</si>
  <si>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</si>
  <si>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</si>
  <si>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</si>
  <si>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</si>
  <si>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</si>
  <si>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</si>
  <si>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</si>
  <si>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</si>
  <si>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</si>
  <si>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</si>
  <si>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</si>
  <si>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</si>
  <si>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</si>
  <si>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</si>
  <si>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</si>
  <si>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</si>
  <si>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</si>
  <si>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</si>
  <si>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</si>
  <si>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</si>
  <si>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</si>
  <si>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</si>
  <si>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</si>
  <si>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</si>
  <si>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</si>
  <si>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</si>
  <si>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</si>
  <si>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</si>
  <si>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</si>
  <si>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</si>
  <si>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</si>
  <si>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</si>
  <si>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</si>
  <si>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</si>
  <si>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</si>
  <si>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</si>
  <si>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</si>
  <si>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</si>
  <si>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</si>
  <si>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</si>
  <si>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</si>
  <si>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</si>
  <si>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</si>
  <si>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</si>
  <si>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</si>
  <si>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</si>
  <si>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</si>
  <si>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</si>
  <si>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</si>
  <si>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</si>
  <si>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</si>
  <si>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</si>
  <si>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</si>
  <si>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</si>
  <si>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</si>
  <si>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</si>
  <si>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</si>
  <si>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</si>
  <si>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</si>
  <si>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</si>
  <si>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</si>
  <si>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</si>
  <si>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</si>
  <si>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</si>
  <si>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</si>
  <si>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</si>
  <si>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</si>
  <si>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</si>
  <si>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</si>
  <si>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</si>
  <si>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</si>
  <si>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</si>
  <si>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</si>
  <si>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</si>
  <si>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</si>
  <si>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</si>
  <si>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</si>
  <si>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</si>
  <si>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</si>
  <si>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</si>
  <si>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</si>
  <si>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</si>
  <si>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</si>
  <si>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</si>
  <si>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</si>
  <si>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</si>
  <si>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</si>
  <si>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</si>
  <si>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</si>
  <si>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</si>
  <si>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</si>
  <si>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</si>
  <si>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</si>
  <si>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</si>
  <si>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</si>
  <si>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</si>
  <si>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</si>
  <si>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</si>
  <si>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</si>
  <si>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</si>
  <si>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</si>
  <si>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</si>
  <si>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</si>
  <si>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</si>
  <si>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</si>
  <si>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</si>
  <si>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</si>
  <si>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</si>
  <si>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</si>
  <si>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</si>
  <si>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</si>
  <si>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</si>
  <si>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</si>
  <si>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</si>
  <si>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</si>
  <si>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</si>
  <si>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</si>
  <si>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</si>
  <si>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</si>
  <si>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</si>
  <si>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</si>
  <si>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</si>
  <si>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</si>
  <si>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</si>
  <si>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</si>
  <si>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</si>
  <si>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</si>
  <si>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</si>
  <si>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</si>
  <si>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</si>
  <si>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</si>
  <si>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</si>
  <si>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</si>
  <si>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</si>
  <si>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</si>
  <si>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</si>
  <si>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</si>
  <si>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</si>
  <si>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</si>
  <si>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</si>
  <si>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</si>
  <si>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</si>
  <si>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</si>
  <si>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</si>
  <si>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</si>
  <si>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</si>
  <si>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</si>
  <si>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</si>
  <si>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</si>
  <si>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</si>
  <si>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</si>
  <si>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</si>
  <si>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</si>
  <si>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</si>
  <si>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</si>
  <si>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</si>
  <si>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</si>
  <si>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</si>
  <si>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</si>
  <si>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</si>
  <si>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</si>
  <si>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</si>
  <si>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</si>
  <si>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</si>
  <si>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</si>
  <si>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</si>
  <si>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</si>
  <si>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</si>
  <si>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</si>
  <si>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</si>
  <si>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</si>
  <si>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</si>
  <si>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</si>
  <si>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</si>
  <si>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</si>
  <si>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</si>
  <si>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</si>
  <si>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</si>
  <si>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</si>
  <si>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</si>
  <si>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</si>
  <si>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</si>
  <si>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</si>
  <si>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</si>
  <si>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</si>
  <si>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</si>
  <si>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</si>
  <si>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</si>
  <si>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</si>
  <si>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</si>
  <si>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Lyme School District</t>
  </si>
  <si>
    <t>8/1994</t>
  </si>
  <si>
    <t>8/20/14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</si>
</sst>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327</v>
      </c>
      <c r="C2" s="21">
        <v>327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94183.93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834833.86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3135.38</v>
      </c>
      <c r="G12" s="18">
        <v>1680.47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408.83</v>
      </c>
      <c r="H13" s="18">
        <v>6215.85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2238.71</v>
      </c>
      <c r="G14" s="18">
        <v>439.95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1500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101058.02</v>
      </c>
      <c r="G19" s="41">
        <f>SUM(G9:G18)</f>
        <v>2529.25</v>
      </c>
      <c r="H19" s="41">
        <f>SUM(H9:H18)</f>
        <v>6215.85</v>
      </c>
      <c r="I19" s="41">
        <f>SUM(I9:I18)</f>
        <v>0</v>
      </c>
      <c r="J19" s="41">
        <f>SUM(J9:J18)</f>
        <v>834833.86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6215.85</v>
      </c>
      <c r="I22" s="18">
        <v>-1400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17471.57</v>
      </c>
      <c r="G24" s="18"/>
      <c r="H24" s="18"/>
      <c r="I24" s="18">
        <v>27977.26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>
        <v>747672.11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2529.25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>
        <v>89327.55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17471.57</v>
      </c>
      <c r="G32" s="41">
        <f>SUM(G22:G31)</f>
        <v>2529.25</v>
      </c>
      <c r="H32" s="41">
        <f>SUM(H22:H31)</f>
        <v>6215.85</v>
      </c>
      <c r="I32" s="41">
        <f>SUM(I22:I31)</f>
        <v>863576.92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-932740.77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61478.21</v>
      </c>
      <c r="G44" s="18"/>
      <c r="H44" s="18"/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69163.850000000006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9354.24</v>
      </c>
      <c r="G48" s="18"/>
      <c r="H48" s="18"/>
      <c r="I48" s="18"/>
      <c r="J48" s="13">
        <f>SUM(I459)</f>
        <v>834833.86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12754</v>
      </c>
      <c r="G49" s="18"/>
      <c r="H49" s="18"/>
      <c r="I49" s="18" t="s">
        <v>287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83586.45</v>
      </c>
      <c r="G51" s="41">
        <f>SUM(G35:G50)</f>
        <v>0</v>
      </c>
      <c r="H51" s="41">
        <f>SUM(H35:H50)</f>
        <v>0</v>
      </c>
      <c r="I51" s="41">
        <f>SUM(I35:I50)</f>
        <v>-863576.92</v>
      </c>
      <c r="J51" s="41">
        <f>SUM(J35:J50)</f>
        <v>834833.86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101058.01999999999</v>
      </c>
      <c r="G52" s="41">
        <f>G51+G32</f>
        <v>2529.25</v>
      </c>
      <c r="H52" s="41">
        <f>H51+H32</f>
        <v>6215.85</v>
      </c>
      <c r="I52" s="41">
        <f>I51+I32</f>
        <v>0</v>
      </c>
      <c r="J52" s="41">
        <f>J51+J32</f>
        <v>834833.86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4389899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4389899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150.77000000000001</v>
      </c>
      <c r="G96" s="18"/>
      <c r="H96" s="18"/>
      <c r="I96" s="18"/>
      <c r="J96" s="18">
        <v>213.19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43056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68717.5</v>
      </c>
      <c r="G102" s="18"/>
      <c r="H102" s="18"/>
      <c r="I102" s="18">
        <v>219567</v>
      </c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>
        <v>0</v>
      </c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68868.27</v>
      </c>
      <c r="G111" s="41">
        <f>SUM(G96:G110)</f>
        <v>43056</v>
      </c>
      <c r="H111" s="41">
        <f>SUM(H96:H110)</f>
        <v>0</v>
      </c>
      <c r="I111" s="41">
        <f>SUM(I96:I110)</f>
        <v>219567</v>
      </c>
      <c r="J111" s="41">
        <f>SUM(J96:J110)</f>
        <v>213.19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4458767.2699999996</v>
      </c>
      <c r="G112" s="41">
        <f>G60+G111</f>
        <v>43056</v>
      </c>
      <c r="H112" s="41">
        <f>H60+H79+H94+H111</f>
        <v>0</v>
      </c>
      <c r="I112" s="41">
        <f>I60+I111</f>
        <v>219567</v>
      </c>
      <c r="J112" s="41">
        <f>J60+J111</f>
        <v>213.19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246149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782503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1028652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22992.74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9670.34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22623.21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735.74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55286.29</v>
      </c>
      <c r="G136" s="41">
        <f>SUM(G123:G135)</f>
        <v>735.74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1083938.29</v>
      </c>
      <c r="G140" s="41">
        <f>G121+SUM(G136:G137)</f>
        <v>735.74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6015.85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10982.98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9132.5300000000007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42971.3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9132.5300000000007</v>
      </c>
      <c r="H162" s="41">
        <f>SUM(H150:H161)</f>
        <v>59970.130000000005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506.3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506.3</v>
      </c>
      <c r="G169" s="41">
        <f>G147+G162+SUM(G163:G168)</f>
        <v>9132.5300000000007</v>
      </c>
      <c r="H169" s="41">
        <f>H147+H162+SUM(H163:H168)</f>
        <v>59970.130000000005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7050.73</v>
      </c>
      <c r="H179" s="18"/>
      <c r="I179" s="18"/>
      <c r="J179" s="18">
        <v>125414.39999999999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7050.73</v>
      </c>
      <c r="H183" s="41">
        <f>SUM(H179:H182)</f>
        <v>0</v>
      </c>
      <c r="I183" s="41">
        <f>SUM(I179:I182)</f>
        <v>0</v>
      </c>
      <c r="J183" s="41">
        <f>SUM(J179:J182)</f>
        <v>125414.39999999999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>
        <v>80000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80000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7050.73</v>
      </c>
      <c r="H192" s="41">
        <f>+H183+SUM(H188:H191)</f>
        <v>0</v>
      </c>
      <c r="I192" s="41">
        <f>I177+I183+SUM(I188:I191)</f>
        <v>80000</v>
      </c>
      <c r="J192" s="41">
        <f>J183</f>
        <v>125414.39999999999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5543211.8599999994</v>
      </c>
      <c r="G193" s="47">
        <f>G112+G140+G169+G192</f>
        <v>59975</v>
      </c>
      <c r="H193" s="47">
        <f>H112+H140+H169+H192</f>
        <v>59970.130000000005</v>
      </c>
      <c r="I193" s="47">
        <f>I112+I140+I169+I192</f>
        <v>299567</v>
      </c>
      <c r="J193" s="47">
        <f>J112+J140+J192</f>
        <v>125627.59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1250733.82</v>
      </c>
      <c r="G197" s="18">
        <v>533985.68000000005</v>
      </c>
      <c r="H197" s="18">
        <v>23398.7</v>
      </c>
      <c r="I197" s="18">
        <v>31054.33</v>
      </c>
      <c r="J197" s="18">
        <v>27617.31</v>
      </c>
      <c r="K197" s="18"/>
      <c r="L197" s="19">
        <f>SUM(F197:K197)</f>
        <v>1866789.84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296559.90999999997</v>
      </c>
      <c r="G198" s="18">
        <v>117754.85</v>
      </c>
      <c r="H198" s="18">
        <v>115221.16</v>
      </c>
      <c r="I198" s="18">
        <v>3129.71</v>
      </c>
      <c r="J198" s="18">
        <v>5597.9</v>
      </c>
      <c r="K198" s="18"/>
      <c r="L198" s="19">
        <f>SUM(F198:K198)</f>
        <v>538263.53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98544.12</v>
      </c>
      <c r="G202" s="18">
        <v>34627.550000000003</v>
      </c>
      <c r="H202" s="18">
        <v>77458.039999999994</v>
      </c>
      <c r="I202" s="18">
        <v>400.41</v>
      </c>
      <c r="J202" s="18">
        <v>959</v>
      </c>
      <c r="K202" s="18"/>
      <c r="L202" s="19">
        <f t="shared" ref="L202:L208" si="0">SUM(F202:K202)</f>
        <v>211989.11999999997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39334.379999999997</v>
      </c>
      <c r="G203" s="18">
        <v>26089.29</v>
      </c>
      <c r="H203" s="18">
        <v>11100</v>
      </c>
      <c r="I203" s="18">
        <v>616.83000000000004</v>
      </c>
      <c r="J203" s="18"/>
      <c r="K203" s="18"/>
      <c r="L203" s="19">
        <f t="shared" si="0"/>
        <v>77140.5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176231.73</v>
      </c>
      <c r="G204" s="18">
        <v>45408.83</v>
      </c>
      <c r="H204" s="18">
        <v>34471.03</v>
      </c>
      <c r="I204" s="18">
        <v>5583.18</v>
      </c>
      <c r="J204" s="18">
        <v>799.68</v>
      </c>
      <c r="K204" s="18">
        <v>3909.04</v>
      </c>
      <c r="L204" s="19">
        <f t="shared" si="0"/>
        <v>266403.49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157042.64000000001</v>
      </c>
      <c r="G205" s="18">
        <v>63951.96</v>
      </c>
      <c r="H205" s="18">
        <v>9496.6200000000008</v>
      </c>
      <c r="I205" s="18">
        <v>230.74</v>
      </c>
      <c r="J205" s="18"/>
      <c r="K205" s="18"/>
      <c r="L205" s="19">
        <f t="shared" si="0"/>
        <v>230721.96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75598.179999999993</v>
      </c>
      <c r="G207" s="18">
        <v>43646.11</v>
      </c>
      <c r="H207" s="18">
        <v>46770.03</v>
      </c>
      <c r="I207" s="18">
        <v>74888.259999999995</v>
      </c>
      <c r="J207" s="18">
        <v>8308.4500000000007</v>
      </c>
      <c r="K207" s="18"/>
      <c r="L207" s="19">
        <f t="shared" si="0"/>
        <v>249211.03000000003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91124.31</v>
      </c>
      <c r="I208" s="18">
        <v>2320.7199999999998</v>
      </c>
      <c r="J208" s="18"/>
      <c r="K208" s="18"/>
      <c r="L208" s="19">
        <f t="shared" si="0"/>
        <v>93445.03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2094044.78</v>
      </c>
      <c r="G211" s="41">
        <f t="shared" si="1"/>
        <v>865464.27</v>
      </c>
      <c r="H211" s="41">
        <f t="shared" si="1"/>
        <v>409039.89000000007</v>
      </c>
      <c r="I211" s="41">
        <f t="shared" si="1"/>
        <v>118224.18</v>
      </c>
      <c r="J211" s="41">
        <f t="shared" si="1"/>
        <v>43282.34</v>
      </c>
      <c r="K211" s="41">
        <f t="shared" si="1"/>
        <v>3909.04</v>
      </c>
      <c r="L211" s="41">
        <f t="shared" si="1"/>
        <v>3533964.5000000005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1542273.35</v>
      </c>
      <c r="I233" s="18"/>
      <c r="J233" s="18"/>
      <c r="K233" s="18"/>
      <c r="L233" s="19">
        <f>SUM(F233:K233)</f>
        <v>1542273.35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40657.56</v>
      </c>
      <c r="G234" s="18">
        <v>19342.48</v>
      </c>
      <c r="H234" s="18">
        <v>64434.68</v>
      </c>
      <c r="I234" s="18"/>
      <c r="J234" s="18"/>
      <c r="K234" s="18"/>
      <c r="L234" s="19">
        <f>SUM(F234:K234)</f>
        <v>124434.72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26260.5</v>
      </c>
      <c r="I235" s="18"/>
      <c r="J235" s="18"/>
      <c r="K235" s="18"/>
      <c r="L235" s="19">
        <f>SUM(F235:K235)</f>
        <v>26260.5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40657.56</v>
      </c>
      <c r="G247" s="41">
        <f t="shared" si="5"/>
        <v>19342.48</v>
      </c>
      <c r="H247" s="41">
        <f t="shared" si="5"/>
        <v>1632968.53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1692968.57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12339.91</v>
      </c>
      <c r="I255" s="18"/>
      <c r="J255" s="18">
        <v>56545.36</v>
      </c>
      <c r="K255" s="18"/>
      <c r="L255" s="19">
        <f t="shared" si="6"/>
        <v>68885.27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12339.91</v>
      </c>
      <c r="I256" s="41">
        <f t="shared" si="7"/>
        <v>0</v>
      </c>
      <c r="J256" s="41">
        <f t="shared" si="7"/>
        <v>56545.36</v>
      </c>
      <c r="K256" s="41">
        <f t="shared" si="7"/>
        <v>0</v>
      </c>
      <c r="L256" s="41">
        <f>SUM(F256:K256)</f>
        <v>68885.27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2134702.34</v>
      </c>
      <c r="G257" s="41">
        <f t="shared" si="8"/>
        <v>884806.75</v>
      </c>
      <c r="H257" s="41">
        <f t="shared" si="8"/>
        <v>2054348.33</v>
      </c>
      <c r="I257" s="41">
        <f t="shared" si="8"/>
        <v>118224.18</v>
      </c>
      <c r="J257" s="41">
        <f t="shared" si="8"/>
        <v>99827.7</v>
      </c>
      <c r="K257" s="41">
        <f t="shared" si="8"/>
        <v>3909.04</v>
      </c>
      <c r="L257" s="41">
        <f t="shared" si="8"/>
        <v>5295818.34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75000</v>
      </c>
      <c r="L260" s="19">
        <f>SUM(F260:K260)</f>
        <v>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6721.88</v>
      </c>
      <c r="L261" s="19">
        <f>SUM(F261:K261)</f>
        <v>6721.88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7050.73</v>
      </c>
      <c r="L263" s="19">
        <f>SUM(F263:K263)</f>
        <v>7050.73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125414.39999999999</v>
      </c>
      <c r="L266" s="19">
        <f t="shared" si="9"/>
        <v>125414.39999999999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214187.01</v>
      </c>
      <c r="L270" s="41">
        <f t="shared" si="9"/>
        <v>214187.01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2134702.34</v>
      </c>
      <c r="G271" s="42">
        <f t="shared" si="11"/>
        <v>884806.75</v>
      </c>
      <c r="H271" s="42">
        <f t="shared" si="11"/>
        <v>2054348.33</v>
      </c>
      <c r="I271" s="42">
        <f t="shared" si="11"/>
        <v>118224.18</v>
      </c>
      <c r="J271" s="42">
        <f t="shared" si="11"/>
        <v>99827.7</v>
      </c>
      <c r="K271" s="42">
        <f t="shared" si="11"/>
        <v>218096.05000000002</v>
      </c>
      <c r="L271" s="42">
        <f t="shared" si="11"/>
        <v>5510005.3499999996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3310.4</v>
      </c>
      <c r="G276" s="18"/>
      <c r="H276" s="18">
        <v>37</v>
      </c>
      <c r="I276" s="18">
        <v>2093.4499999999998</v>
      </c>
      <c r="J276" s="18"/>
      <c r="K276" s="18"/>
      <c r="L276" s="19">
        <f>SUM(F276:K276)</f>
        <v>5440.85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8500</v>
      </c>
      <c r="G277" s="18"/>
      <c r="H277" s="18">
        <v>2980</v>
      </c>
      <c r="I277" s="18"/>
      <c r="J277" s="18"/>
      <c r="K277" s="18"/>
      <c r="L277" s="19">
        <f>SUM(F277:K277)</f>
        <v>11480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4052.74</v>
      </c>
      <c r="G281" s="18">
        <v>6388.95</v>
      </c>
      <c r="H281" s="18">
        <v>32032.59</v>
      </c>
      <c r="I281" s="18"/>
      <c r="J281" s="18"/>
      <c r="K281" s="18"/>
      <c r="L281" s="19">
        <f t="shared" ref="L281:L287" si="12">SUM(F281:K281)</f>
        <v>42474.28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575</v>
      </c>
      <c r="H282" s="18"/>
      <c r="I282" s="18"/>
      <c r="J282" s="18"/>
      <c r="K282" s="18"/>
      <c r="L282" s="19">
        <f t="shared" si="12"/>
        <v>575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15863.14</v>
      </c>
      <c r="G290" s="42">
        <f t="shared" si="13"/>
        <v>6963.95</v>
      </c>
      <c r="H290" s="42">
        <f t="shared" si="13"/>
        <v>35049.589999999997</v>
      </c>
      <c r="I290" s="42">
        <f t="shared" si="13"/>
        <v>2093.4499999999998</v>
      </c>
      <c r="J290" s="42">
        <f t="shared" si="13"/>
        <v>0</v>
      </c>
      <c r="K290" s="42">
        <f t="shared" si="13"/>
        <v>0</v>
      </c>
      <c r="L290" s="41">
        <f t="shared" si="13"/>
        <v>59970.13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15863.14</v>
      </c>
      <c r="G338" s="41">
        <f t="shared" si="20"/>
        <v>6963.95</v>
      </c>
      <c r="H338" s="41">
        <f t="shared" si="20"/>
        <v>35049.589999999997</v>
      </c>
      <c r="I338" s="41">
        <f t="shared" si="20"/>
        <v>2093.4499999999998</v>
      </c>
      <c r="J338" s="41">
        <f t="shared" si="20"/>
        <v>0</v>
      </c>
      <c r="K338" s="41">
        <f t="shared" si="20"/>
        <v>0</v>
      </c>
      <c r="L338" s="41">
        <f t="shared" si="20"/>
        <v>59970.13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15863.14</v>
      </c>
      <c r="G352" s="41">
        <f>G338</f>
        <v>6963.95</v>
      </c>
      <c r="H352" s="41">
        <f>H338</f>
        <v>35049.589999999997</v>
      </c>
      <c r="I352" s="41">
        <f>I338</f>
        <v>2093.4499999999998</v>
      </c>
      <c r="J352" s="41">
        <f>J338</f>
        <v>0</v>
      </c>
      <c r="K352" s="47">
        <f>K338+K351</f>
        <v>0</v>
      </c>
      <c r="L352" s="41">
        <f>L338+L351</f>
        <v>59970.13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59975</v>
      </c>
      <c r="I358" s="18"/>
      <c r="J358" s="18"/>
      <c r="K358" s="18"/>
      <c r="L358" s="13">
        <f>SUM(F358:K358)</f>
        <v>59975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59975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59975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227540.31</v>
      </c>
      <c r="I376" s="18"/>
      <c r="J376" s="18"/>
      <c r="K376" s="18"/>
      <c r="L376" s="13">
        <f t="shared" si="23"/>
        <v>227540.31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893275.56</v>
      </c>
      <c r="I378" s="18"/>
      <c r="J378" s="18"/>
      <c r="K378" s="18"/>
      <c r="L378" s="13">
        <f t="shared" si="23"/>
        <v>893275.56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>
        <v>42328.05</v>
      </c>
      <c r="I380" s="18"/>
      <c r="J380" s="18"/>
      <c r="K380" s="18"/>
      <c r="L380" s="13">
        <f t="shared" si="23"/>
        <v>42328.05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1163143.9200000002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1163143.9200000002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80000</v>
      </c>
      <c r="H396" s="18">
        <v>27.07</v>
      </c>
      <c r="I396" s="18"/>
      <c r="J396" s="24" t="s">
        <v>289</v>
      </c>
      <c r="K396" s="24" t="s">
        <v>289</v>
      </c>
      <c r="L396" s="56">
        <f t="shared" si="26"/>
        <v>80027.070000000007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5414.4</v>
      </c>
      <c r="H397" s="18">
        <v>44.03</v>
      </c>
      <c r="I397" s="18"/>
      <c r="J397" s="24" t="s">
        <v>289</v>
      </c>
      <c r="K397" s="24" t="s">
        <v>289</v>
      </c>
      <c r="L397" s="56">
        <f t="shared" si="26"/>
        <v>5458.4299999999994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40000</v>
      </c>
      <c r="H398" s="18">
        <v>116.61</v>
      </c>
      <c r="I398" s="18"/>
      <c r="J398" s="24" t="s">
        <v>289</v>
      </c>
      <c r="K398" s="24" t="s">
        <v>289</v>
      </c>
      <c r="L398" s="56">
        <f t="shared" si="26"/>
        <v>40116.61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25.48</v>
      </c>
      <c r="I400" s="18"/>
      <c r="J400" s="24" t="s">
        <v>289</v>
      </c>
      <c r="K400" s="24" t="s">
        <v>289</v>
      </c>
      <c r="L400" s="56">
        <f t="shared" si="26"/>
        <v>25.48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125414.39999999999</v>
      </c>
      <c r="H401" s="47">
        <f>SUM(H395:H400)</f>
        <v>213.18999999999997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125627.59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125414.39999999999</v>
      </c>
      <c r="H408" s="47">
        <f>H393+H401+H407</f>
        <v>213.18999999999997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125627.59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80000</v>
      </c>
      <c r="L422" s="56">
        <f t="shared" si="29"/>
        <v>80000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80000</v>
      </c>
      <c r="L427" s="47">
        <f t="shared" si="30"/>
        <v>80000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80000</v>
      </c>
      <c r="L434" s="47">
        <f t="shared" si="32"/>
        <v>80000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183139.25</v>
      </c>
      <c r="G440" s="18">
        <v>651694.61</v>
      </c>
      <c r="H440" s="18"/>
      <c r="I440" s="56">
        <f t="shared" si="33"/>
        <v>834833.86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183139.25</v>
      </c>
      <c r="G446" s="13">
        <f>SUM(G439:G445)</f>
        <v>651694.61</v>
      </c>
      <c r="H446" s="13">
        <f>SUM(H439:H445)</f>
        <v>0</v>
      </c>
      <c r="I446" s="13">
        <f>SUM(I439:I445)</f>
        <v>834833.86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183139.25</v>
      </c>
      <c r="G459" s="18">
        <v>651694.61</v>
      </c>
      <c r="H459" s="18"/>
      <c r="I459" s="56">
        <f t="shared" si="34"/>
        <v>834833.86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183139.25</v>
      </c>
      <c r="G460" s="83">
        <f>SUM(G454:G459)</f>
        <v>651694.61</v>
      </c>
      <c r="H460" s="83">
        <f>SUM(H454:H459)</f>
        <v>0</v>
      </c>
      <c r="I460" s="83">
        <f>SUM(I454:I459)</f>
        <v>834833.86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183139.25</v>
      </c>
      <c r="G461" s="42">
        <f>G452+G460</f>
        <v>651694.61</v>
      </c>
      <c r="H461" s="42">
        <f>H452+H460</f>
        <v>0</v>
      </c>
      <c r="I461" s="42">
        <f>I452+I460</f>
        <v>834833.86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50379.94</v>
      </c>
      <c r="G465" s="18">
        <v>0</v>
      </c>
      <c r="H465" s="18">
        <v>0</v>
      </c>
      <c r="I465" s="18">
        <v>0</v>
      </c>
      <c r="J465" s="18">
        <v>789206.27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5543211.8600000003</v>
      </c>
      <c r="G468" s="18">
        <v>59975</v>
      </c>
      <c r="H468" s="18">
        <v>59970.13</v>
      </c>
      <c r="I468" s="18">
        <v>299567</v>
      </c>
      <c r="J468" s="18">
        <v>125627.59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5543211.8600000003</v>
      </c>
      <c r="G470" s="53">
        <f>SUM(G468:G469)</f>
        <v>59975</v>
      </c>
      <c r="H470" s="53">
        <f>SUM(H468:H469)</f>
        <v>59970.13</v>
      </c>
      <c r="I470" s="53">
        <f>SUM(I468:I469)</f>
        <v>299567</v>
      </c>
      <c r="J470" s="53">
        <f>SUM(J468:J469)</f>
        <v>125627.59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5510005.3499999996</v>
      </c>
      <c r="G472" s="18">
        <v>59975</v>
      </c>
      <c r="H472" s="18">
        <v>59970.13</v>
      </c>
      <c r="I472" s="18">
        <v>1163143.92</v>
      </c>
      <c r="J472" s="18">
        <v>80000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5510005.3499999996</v>
      </c>
      <c r="G474" s="53">
        <f>SUM(G472:G473)</f>
        <v>59975</v>
      </c>
      <c r="H474" s="53">
        <f>SUM(H472:H473)</f>
        <v>59970.13</v>
      </c>
      <c r="I474" s="53">
        <f>SUM(I472:I473)</f>
        <v>1163143.92</v>
      </c>
      <c r="J474" s="53">
        <f>SUM(J472:J473)</f>
        <v>80000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83586.450000001118</v>
      </c>
      <c r="G476" s="53">
        <f>(G465+G470)- G474</f>
        <v>0</v>
      </c>
      <c r="H476" s="53">
        <f>(H465+H470)- H474</f>
        <v>0</v>
      </c>
      <c r="I476" s="53">
        <f>(I465+I470)- I474</f>
        <v>-863576.91999999993</v>
      </c>
      <c r="J476" s="53">
        <f>(J465+J470)- J474</f>
        <v>834833.86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913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600000</v>
      </c>
      <c r="G493" s="18">
        <v>900000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5.82</v>
      </c>
      <c r="G494" s="18">
        <v>5.63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60000</v>
      </c>
      <c r="G495" s="18">
        <v>90000</v>
      </c>
      <c r="H495" s="18"/>
      <c r="I495" s="18"/>
      <c r="J495" s="18"/>
      <c r="K495" s="53">
        <f>SUM(F495:J495)</f>
        <v>150000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30000</v>
      </c>
      <c r="G497" s="18">
        <v>45000</v>
      </c>
      <c r="H497" s="18"/>
      <c r="I497" s="18"/>
      <c r="J497" s="18"/>
      <c r="K497" s="53">
        <f t="shared" si="35"/>
        <v>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30000</v>
      </c>
      <c r="G498" s="204">
        <v>45000</v>
      </c>
      <c r="H498" s="204"/>
      <c r="I498" s="204"/>
      <c r="J498" s="204"/>
      <c r="K498" s="205">
        <f t="shared" si="35"/>
        <v>75000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918.75</v>
      </c>
      <c r="G499" s="18">
        <v>1321.88</v>
      </c>
      <c r="H499" s="18"/>
      <c r="I499" s="18"/>
      <c r="J499" s="18"/>
      <c r="K499" s="53">
        <f t="shared" si="35"/>
        <v>2240.63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30918.75</v>
      </c>
      <c r="G500" s="42">
        <f>SUM(G498:G499)</f>
        <v>46321.88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77240.63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30000</v>
      </c>
      <c r="G501" s="204">
        <v>45000</v>
      </c>
      <c r="H501" s="204"/>
      <c r="I501" s="204"/>
      <c r="J501" s="204"/>
      <c r="K501" s="205">
        <f t="shared" si="35"/>
        <v>75000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918.75</v>
      </c>
      <c r="G502" s="18">
        <v>1321.88</v>
      </c>
      <c r="H502" s="18"/>
      <c r="I502" s="18"/>
      <c r="J502" s="18"/>
      <c r="K502" s="53">
        <f t="shared" si="35"/>
        <v>2240.63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30918.75</v>
      </c>
      <c r="G503" s="42">
        <f>SUM(G501:G502)</f>
        <v>46321.88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77240.63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305059.90999999997</v>
      </c>
      <c r="G521" s="18">
        <v>117754.85</v>
      </c>
      <c r="H521" s="18">
        <v>113793.27</v>
      </c>
      <c r="I521" s="18">
        <v>3129.71</v>
      </c>
      <c r="J521" s="18">
        <v>5597.9</v>
      </c>
      <c r="K521" s="18"/>
      <c r="L521" s="88">
        <f>SUM(F521:K521)</f>
        <v>545335.64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40657.56</v>
      </c>
      <c r="G523" s="18">
        <v>19342.48</v>
      </c>
      <c r="H523" s="18">
        <v>64434.68</v>
      </c>
      <c r="I523" s="18"/>
      <c r="J523" s="18"/>
      <c r="K523" s="18"/>
      <c r="L523" s="88">
        <f>SUM(F523:K523)</f>
        <v>124434.72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345717.47</v>
      </c>
      <c r="G524" s="108">
        <f t="shared" ref="G524:L524" si="36">SUM(G521:G523)</f>
        <v>137097.33000000002</v>
      </c>
      <c r="H524" s="108">
        <f t="shared" si="36"/>
        <v>178227.95</v>
      </c>
      <c r="I524" s="108">
        <f t="shared" si="36"/>
        <v>3129.71</v>
      </c>
      <c r="J524" s="108">
        <f t="shared" si="36"/>
        <v>5597.9</v>
      </c>
      <c r="K524" s="108">
        <f t="shared" si="36"/>
        <v>0</v>
      </c>
      <c r="L524" s="89">
        <f t="shared" si="36"/>
        <v>669770.36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107592</v>
      </c>
      <c r="I526" s="18"/>
      <c r="J526" s="18"/>
      <c r="K526" s="18"/>
      <c r="L526" s="88">
        <f>SUM(F526:K526)</f>
        <v>107592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107592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107592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40657.56</v>
      </c>
      <c r="G533" s="18">
        <v>18907.599999999999</v>
      </c>
      <c r="H533" s="18"/>
      <c r="I533" s="18"/>
      <c r="J533" s="18"/>
      <c r="K533" s="18"/>
      <c r="L533" s="88">
        <f>SUM(F533:K533)</f>
        <v>59565.159999999996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40657.56</v>
      </c>
      <c r="G534" s="89">
        <f t="shared" ref="G534:L534" si="38">SUM(G531:G533)</f>
        <v>18907.599999999999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59565.159999999996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1427.89</v>
      </c>
      <c r="I536" s="18"/>
      <c r="J536" s="18"/>
      <c r="K536" s="18"/>
      <c r="L536" s="88">
        <f>SUM(F536:K536)</f>
        <v>1427.89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1427.89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1427.89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386375.02999999997</v>
      </c>
      <c r="G545" s="89">
        <f t="shared" ref="G545:L545" si="41">G524+G529+G534+G539+G544</f>
        <v>156004.93000000002</v>
      </c>
      <c r="H545" s="89">
        <f t="shared" si="41"/>
        <v>287247.84000000003</v>
      </c>
      <c r="I545" s="89">
        <f t="shared" si="41"/>
        <v>3129.71</v>
      </c>
      <c r="J545" s="89">
        <f t="shared" si="41"/>
        <v>5597.9</v>
      </c>
      <c r="K545" s="89">
        <f t="shared" si="41"/>
        <v>0</v>
      </c>
      <c r="L545" s="89">
        <f t="shared" si="41"/>
        <v>838355.41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545335.64</v>
      </c>
      <c r="G549" s="87">
        <f>L526</f>
        <v>107592</v>
      </c>
      <c r="H549" s="87">
        <f>L531</f>
        <v>0</v>
      </c>
      <c r="I549" s="87">
        <f>L536</f>
        <v>1427.89</v>
      </c>
      <c r="J549" s="87">
        <f>L541</f>
        <v>0</v>
      </c>
      <c r="K549" s="87">
        <f>SUM(F549:J549)</f>
        <v>654355.53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124434.72</v>
      </c>
      <c r="G551" s="87">
        <f>L528</f>
        <v>0</v>
      </c>
      <c r="H551" s="87">
        <f>L533</f>
        <v>59565.159999999996</v>
      </c>
      <c r="I551" s="87">
        <f>L538</f>
        <v>0</v>
      </c>
      <c r="J551" s="87">
        <f>L543</f>
        <v>0</v>
      </c>
      <c r="K551" s="87">
        <f>SUM(F551:J551)</f>
        <v>183999.88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669770.36</v>
      </c>
      <c r="G552" s="89">
        <f t="shared" si="42"/>
        <v>107592</v>
      </c>
      <c r="H552" s="89">
        <f t="shared" si="42"/>
        <v>59565.159999999996</v>
      </c>
      <c r="I552" s="89">
        <f t="shared" si="42"/>
        <v>1427.89</v>
      </c>
      <c r="J552" s="89">
        <f t="shared" si="42"/>
        <v>0</v>
      </c>
      <c r="K552" s="89">
        <f t="shared" si="42"/>
        <v>838355.41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949504.22</v>
      </c>
      <c r="I575" s="87">
        <f>SUM(F575:H575)</f>
        <v>949504.22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584749.5</v>
      </c>
      <c r="I576" s="87">
        <f t="shared" ref="I576:I587" si="47">SUM(F576:H576)</f>
        <v>584749.5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64110.57</v>
      </c>
      <c r="G582" s="18"/>
      <c r="H582" s="18"/>
      <c r="I582" s="87">
        <f t="shared" si="47"/>
        <v>64110.57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19102.98</v>
      </c>
      <c r="I583" s="87">
        <f t="shared" si="47"/>
        <v>19102.98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26260.5</v>
      </c>
      <c r="I585" s="87">
        <f t="shared" si="47"/>
        <v>26260.5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89625.62</v>
      </c>
      <c r="I591" s="18"/>
      <c r="J591" s="18"/>
      <c r="K591" s="104">
        <f t="shared" ref="K591:K597" si="48">SUM(H591:J591)</f>
        <v>89625.62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3819.41</v>
      </c>
      <c r="I595" s="18"/>
      <c r="J595" s="18"/>
      <c r="K595" s="104">
        <f t="shared" si="48"/>
        <v>3819.41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93445.03</v>
      </c>
      <c r="I598" s="108">
        <f>SUM(I591:I597)</f>
        <v>0</v>
      </c>
      <c r="J598" s="108">
        <f>SUM(J591:J597)</f>
        <v>0</v>
      </c>
      <c r="K598" s="108">
        <f>SUM(K591:K597)</f>
        <v>93445.03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43282.34</v>
      </c>
      <c r="I604" s="18"/>
      <c r="J604" s="18"/>
      <c r="K604" s="104">
        <f>SUM(H604:J604)</f>
        <v>43282.34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43282.34</v>
      </c>
      <c r="I605" s="108">
        <f>SUM(I602:I604)</f>
        <v>0</v>
      </c>
      <c r="J605" s="108">
        <f>SUM(J602:J604)</f>
        <v>0</v>
      </c>
      <c r="K605" s="108">
        <f>SUM(K602:K604)</f>
        <v>43282.34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101058.02</v>
      </c>
      <c r="H617" s="109">
        <f>SUM(F52)</f>
        <v>101058.01999999999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2529.25</v>
      </c>
      <c r="H618" s="109">
        <f>SUM(G52)</f>
        <v>2529.25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6215.85</v>
      </c>
      <c r="H619" s="109">
        <f>SUM(H52)</f>
        <v>6215.85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834833.86</v>
      </c>
      <c r="H621" s="109">
        <f>SUM(J52)</f>
        <v>834833.86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83586.45</v>
      </c>
      <c r="H622" s="109">
        <f>F476</f>
        <v>83586.450000001118</v>
      </c>
      <c r="I622" s="121" t="s">
        <v>101</v>
      </c>
      <c r="J622" s="109">
        <f t="shared" ref="J622:J655" si="50">G622-H622</f>
        <v>-1.1204974725842476E-9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-863576.92</v>
      </c>
      <c r="H625" s="109">
        <f>I476</f>
        <v>-863576.91999999993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834833.86</v>
      </c>
      <c r="H626" s="109">
        <f>J476</f>
        <v>834833.86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5543211.8599999994</v>
      </c>
      <c r="H627" s="104">
        <f>SUM(F468)</f>
        <v>5543211.8600000003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59975</v>
      </c>
      <c r="H628" s="104">
        <f>SUM(G468)</f>
        <v>59975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59970.130000000005</v>
      </c>
      <c r="H629" s="104">
        <f>SUM(H468)</f>
        <v>59970.13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299567</v>
      </c>
      <c r="H630" s="104">
        <f>SUM(I468)</f>
        <v>299567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125627.59</v>
      </c>
      <c r="H631" s="104">
        <f>SUM(J468)</f>
        <v>125627.59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5510005.3499999996</v>
      </c>
      <c r="H632" s="104">
        <f>SUM(F472)</f>
        <v>5510005.3499999996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59970.13</v>
      </c>
      <c r="H633" s="104">
        <f>SUM(H472)</f>
        <v>59970.13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59975</v>
      </c>
      <c r="H635" s="104">
        <f>SUM(G472)</f>
        <v>59975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1163143.9200000002</v>
      </c>
      <c r="H636" s="104">
        <f>SUM(I472)</f>
        <v>1163143.92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125627.59</v>
      </c>
      <c r="H637" s="164">
        <f>SUM(J468)</f>
        <v>125627.59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80000</v>
      </c>
      <c r="H638" s="164">
        <f>SUM(J472)</f>
        <v>80000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183139.25</v>
      </c>
      <c r="H639" s="104">
        <f>SUM(F461)</f>
        <v>183139.25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651694.61</v>
      </c>
      <c r="H640" s="104">
        <f>SUM(G461)</f>
        <v>651694.61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834833.86</v>
      </c>
      <c r="H642" s="104">
        <f>SUM(I461)</f>
        <v>834833.86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213.19</v>
      </c>
      <c r="H644" s="104">
        <f>H408</f>
        <v>213.18999999999997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125414.39999999999</v>
      </c>
      <c r="H645" s="104">
        <f>G408</f>
        <v>125414.39999999999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125627.59</v>
      </c>
      <c r="H646" s="104">
        <f>L408</f>
        <v>125627.59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93445.03</v>
      </c>
      <c r="H647" s="104">
        <f>L208+L226+L244</f>
        <v>93445.03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43282.34</v>
      </c>
      <c r="H648" s="104">
        <f>(J257+J338)-(J255+J336)</f>
        <v>43282.34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93445.03</v>
      </c>
      <c r="H649" s="104">
        <f>H598</f>
        <v>93445.03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7050.73</v>
      </c>
      <c r="H652" s="104">
        <f>K263+K345</f>
        <v>7050.73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125414.39999999999</v>
      </c>
      <c r="H655" s="104">
        <f>K266+K347</f>
        <v>125414.39999999999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3653909.6300000004</v>
      </c>
      <c r="G660" s="19">
        <f>(L229+L309+L359)</f>
        <v>0</v>
      </c>
      <c r="H660" s="19">
        <f>(L247+L328+L360)</f>
        <v>1692968.57</v>
      </c>
      <c r="I660" s="19">
        <f>SUM(F660:H660)</f>
        <v>5346878.2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43056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43056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93445.03</v>
      </c>
      <c r="G662" s="19">
        <f>(L226+L306)-(J226+J306)</f>
        <v>0</v>
      </c>
      <c r="H662" s="19">
        <f>(L244+L325)-(J244+J325)</f>
        <v>0</v>
      </c>
      <c r="I662" s="19">
        <f>SUM(F662:H662)</f>
        <v>93445.03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107392.91</v>
      </c>
      <c r="G663" s="199">
        <f>SUM(G575:G587)+SUM(I602:I604)+L612</f>
        <v>0</v>
      </c>
      <c r="H663" s="199">
        <f>SUM(H575:H587)+SUM(J602:J604)+L613</f>
        <v>1579617.2</v>
      </c>
      <c r="I663" s="19">
        <f>SUM(F663:H663)</f>
        <v>1687010.1099999999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3410015.6900000004</v>
      </c>
      <c r="G664" s="19">
        <f>G660-SUM(G661:G663)</f>
        <v>0</v>
      </c>
      <c r="H664" s="19">
        <f>H660-SUM(H661:H663)</f>
        <v>113351.37000000011</v>
      </c>
      <c r="I664" s="19">
        <f>I660-SUM(I661:I663)</f>
        <v>3523367.0600000005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191.56</v>
      </c>
      <c r="G665" s="248"/>
      <c r="H665" s="248"/>
      <c r="I665" s="19">
        <f>SUM(F665:H665)</f>
        <v>191.56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17801.29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18393.02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-113351.37</v>
      </c>
      <c r="I669" s="19">
        <f>SUM(F669:H669)</f>
        <v>-113351.37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17801.29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17801.29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Lyme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1254044.22</v>
      </c>
      <c r="C9" s="229">
        <f>'DOE25'!G197+'DOE25'!G215+'DOE25'!G233+'DOE25'!G276+'DOE25'!G295+'DOE25'!G314</f>
        <v>533985.68000000005</v>
      </c>
    </row>
    <row r="10" spans="1:3" x14ac:dyDescent="0.2">
      <c r="A10" t="s">
        <v>779</v>
      </c>
      <c r="B10" s="240">
        <v>1205323.72</v>
      </c>
      <c r="C10" s="240">
        <v>512973.04</v>
      </c>
    </row>
    <row r="11" spans="1:3" x14ac:dyDescent="0.2">
      <c r="A11" t="s">
        <v>780</v>
      </c>
      <c r="B11" s="240">
        <v>26584.67</v>
      </c>
      <c r="C11" s="240">
        <v>19319.25</v>
      </c>
    </row>
    <row r="12" spans="1:3" x14ac:dyDescent="0.2">
      <c r="A12" t="s">
        <v>781</v>
      </c>
      <c r="B12" s="240">
        <v>22135.83</v>
      </c>
      <c r="C12" s="240">
        <v>1693.39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1254044.22</v>
      </c>
      <c r="C13" s="231">
        <f>SUM(C10:C12)</f>
        <v>533985.68000000005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345717.47</v>
      </c>
      <c r="C18" s="229">
        <f>'DOE25'!G198+'DOE25'!G216+'DOE25'!G234+'DOE25'!G277+'DOE25'!G296+'DOE25'!G315</f>
        <v>137097.33000000002</v>
      </c>
    </row>
    <row r="19" spans="1:3" x14ac:dyDescent="0.2">
      <c r="A19" t="s">
        <v>779</v>
      </c>
      <c r="B19" s="240">
        <v>193705.56</v>
      </c>
      <c r="C19" s="240">
        <v>75363.39</v>
      </c>
    </row>
    <row r="20" spans="1:3" x14ac:dyDescent="0.2">
      <c r="A20" t="s">
        <v>780</v>
      </c>
      <c r="B20" s="240">
        <v>152011.91</v>
      </c>
      <c r="C20" s="240">
        <v>61733.94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345717.47</v>
      </c>
      <c r="C22" s="231">
        <f>SUM(C19:C21)</f>
        <v>137097.33000000002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Lyme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4098021.9400000004</v>
      </c>
      <c r="D5" s="20">
        <f>SUM('DOE25'!L197:L200)+SUM('DOE25'!L215:L218)+SUM('DOE25'!L233:L236)-F5-G5</f>
        <v>4064806.7300000004</v>
      </c>
      <c r="E5" s="243"/>
      <c r="F5" s="255">
        <f>SUM('DOE25'!J197:J200)+SUM('DOE25'!J215:J218)+SUM('DOE25'!J233:J236)</f>
        <v>33215.21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211989.11999999997</v>
      </c>
      <c r="D6" s="20">
        <f>'DOE25'!L202+'DOE25'!L220+'DOE25'!L238-F6-G6</f>
        <v>211030.11999999997</v>
      </c>
      <c r="E6" s="243"/>
      <c r="F6" s="255">
        <f>'DOE25'!J202+'DOE25'!J220+'DOE25'!J238</f>
        <v>959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77140.5</v>
      </c>
      <c r="D7" s="20">
        <f>'DOE25'!L203+'DOE25'!L221+'DOE25'!L239-F7-G7</f>
        <v>77140.5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146011.54999999999</v>
      </c>
      <c r="D8" s="243"/>
      <c r="E8" s="20">
        <f>'DOE25'!L204+'DOE25'!L222+'DOE25'!L240-F8-G8-D9-D11</f>
        <v>141302.82999999999</v>
      </c>
      <c r="F8" s="255">
        <f>'DOE25'!J204+'DOE25'!J222+'DOE25'!J240</f>
        <v>799.68</v>
      </c>
      <c r="G8" s="53">
        <f>'DOE25'!K204+'DOE25'!K222+'DOE25'!K240</f>
        <v>3909.04</v>
      </c>
      <c r="H8" s="259"/>
    </row>
    <row r="9" spans="1:9" x14ac:dyDescent="0.2">
      <c r="A9" s="32">
        <v>2310</v>
      </c>
      <c r="B9" t="s">
        <v>818</v>
      </c>
      <c r="C9" s="245">
        <f t="shared" si="0"/>
        <v>26098.94</v>
      </c>
      <c r="D9" s="244">
        <v>26098.94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7650</v>
      </c>
      <c r="D10" s="243"/>
      <c r="E10" s="244">
        <v>7650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94293</v>
      </c>
      <c r="D11" s="244">
        <v>94293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230721.96</v>
      </c>
      <c r="D12" s="20">
        <f>'DOE25'!L205+'DOE25'!L223+'DOE25'!L241-F12-G12</f>
        <v>230721.96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249211.03000000003</v>
      </c>
      <c r="D14" s="20">
        <f>'DOE25'!L207+'DOE25'!L225+'DOE25'!L243-F14-G14</f>
        <v>240902.58000000002</v>
      </c>
      <c r="E14" s="243"/>
      <c r="F14" s="255">
        <f>'DOE25'!J207+'DOE25'!J225+'DOE25'!J243</f>
        <v>8308.4500000000007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93445.03</v>
      </c>
      <c r="D15" s="20">
        <f>'DOE25'!L208+'DOE25'!L226+'DOE25'!L244-F15-G15</f>
        <v>93445.03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68885.27</v>
      </c>
      <c r="D22" s="243"/>
      <c r="E22" s="243"/>
      <c r="F22" s="255">
        <f>'DOE25'!L255+'DOE25'!L336</f>
        <v>68885.27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81721.88</v>
      </c>
      <c r="D25" s="243"/>
      <c r="E25" s="243"/>
      <c r="F25" s="258"/>
      <c r="G25" s="256"/>
      <c r="H25" s="257">
        <f>'DOE25'!L260+'DOE25'!L261+'DOE25'!L341+'DOE25'!L342</f>
        <v>81721.88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59975</v>
      </c>
      <c r="D29" s="20">
        <f>'DOE25'!L358+'DOE25'!L359+'DOE25'!L360-'DOE25'!I367-F29-G29</f>
        <v>59975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59970.13</v>
      </c>
      <c r="D31" s="20">
        <f>'DOE25'!L290+'DOE25'!L309+'DOE25'!L328+'DOE25'!L333+'DOE25'!L334+'DOE25'!L335-F31-G31</f>
        <v>59970.13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5158383.9900000012</v>
      </c>
      <c r="E33" s="246">
        <f>SUM(E5:E31)</f>
        <v>148952.82999999999</v>
      </c>
      <c r="F33" s="246">
        <f>SUM(F5:F31)</f>
        <v>112167.61</v>
      </c>
      <c r="G33" s="246">
        <f>SUM(G5:G31)</f>
        <v>3909.04</v>
      </c>
      <c r="H33" s="246">
        <f>SUM(H5:H31)</f>
        <v>81721.88</v>
      </c>
    </row>
    <row r="35" spans="2:8" ht="12" thickBot="1" x14ac:dyDescent="0.25">
      <c r="B35" s="253" t="s">
        <v>847</v>
      </c>
      <c r="D35" s="254">
        <f>E33</f>
        <v>148952.82999999999</v>
      </c>
      <c r="E35" s="249"/>
    </row>
    <row r="36" spans="2:8" ht="12" thickTop="1" x14ac:dyDescent="0.2">
      <c r="B36" t="s">
        <v>815</v>
      </c>
      <c r="D36" s="20">
        <f>D33</f>
        <v>5158383.9900000012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7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Lyme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94183.93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834833.86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3135.38</v>
      </c>
      <c r="D11" s="95">
        <f>'DOE25'!G12</f>
        <v>1680.47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408.83</v>
      </c>
      <c r="E12" s="95">
        <f>'DOE25'!H13</f>
        <v>6215.85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2238.71</v>
      </c>
      <c r="D13" s="95">
        <f>'DOE25'!G14</f>
        <v>439.95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1500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101058.02</v>
      </c>
      <c r="D18" s="41">
        <f>SUM(D8:D17)</f>
        <v>2529.25</v>
      </c>
      <c r="E18" s="41">
        <f>SUM(E8:E17)</f>
        <v>6215.85</v>
      </c>
      <c r="F18" s="41">
        <f>SUM(F8:F17)</f>
        <v>0</v>
      </c>
      <c r="G18" s="41">
        <f>SUM(G8:G17)</f>
        <v>834833.86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6215.85</v>
      </c>
      <c r="F21" s="95">
        <f>'DOE25'!I22</f>
        <v>-1400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17471.57</v>
      </c>
      <c r="D23" s="95">
        <f>'DOE25'!G24</f>
        <v>0</v>
      </c>
      <c r="E23" s="95">
        <f>'DOE25'!H24</f>
        <v>0</v>
      </c>
      <c r="F23" s="95">
        <f>'DOE25'!I24</f>
        <v>27977.26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747672.11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2529.25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89327.55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17471.57</v>
      </c>
      <c r="D31" s="41">
        <f>SUM(D21:D30)</f>
        <v>2529.25</v>
      </c>
      <c r="E31" s="41">
        <f>SUM(E21:E30)</f>
        <v>6215.85</v>
      </c>
      <c r="F31" s="41">
        <f>SUM(F21:F30)</f>
        <v>863576.92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-932740.77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61478.21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69163.850000000006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9354.24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834833.86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12754</v>
      </c>
      <c r="D48" s="95">
        <f>'DOE25'!G49</f>
        <v>0</v>
      </c>
      <c r="E48" s="95">
        <f>'DOE25'!H49</f>
        <v>0</v>
      </c>
      <c r="F48" s="95" t="str">
        <f>'DOE25'!I49</f>
        <v xml:space="preserve"> 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83586.45</v>
      </c>
      <c r="D50" s="41">
        <f>SUM(D34:D49)</f>
        <v>0</v>
      </c>
      <c r="E50" s="41">
        <f>SUM(E34:E49)</f>
        <v>0</v>
      </c>
      <c r="F50" s="41">
        <f>SUM(F34:F49)</f>
        <v>-863576.92</v>
      </c>
      <c r="G50" s="41">
        <f>SUM(G34:G49)</f>
        <v>834833.86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101058.01999999999</v>
      </c>
      <c r="D51" s="41">
        <f>D50+D31</f>
        <v>2529.25</v>
      </c>
      <c r="E51" s="41">
        <f>E50+E31</f>
        <v>6215.85</v>
      </c>
      <c r="F51" s="41">
        <f>F50+F31</f>
        <v>0</v>
      </c>
      <c r="G51" s="41">
        <f>G50+G31</f>
        <v>834833.86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4389899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150.77000000000001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213.19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43056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68717.5</v>
      </c>
      <c r="D61" s="95">
        <f>SUM('DOE25'!G98:G110)</f>
        <v>0</v>
      </c>
      <c r="E61" s="95">
        <f>SUM('DOE25'!H98:H110)</f>
        <v>0</v>
      </c>
      <c r="F61" s="95">
        <f>SUM('DOE25'!I98:I110)</f>
        <v>219567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68868.27</v>
      </c>
      <c r="D62" s="130">
        <f>SUM(D57:D61)</f>
        <v>43056</v>
      </c>
      <c r="E62" s="130">
        <f>SUM(E57:E61)</f>
        <v>0</v>
      </c>
      <c r="F62" s="130">
        <f>SUM(F57:F61)</f>
        <v>219567</v>
      </c>
      <c r="G62" s="130">
        <f>SUM(G57:G61)</f>
        <v>213.19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4458767.2699999996</v>
      </c>
      <c r="D63" s="22">
        <f>D56+D62</f>
        <v>43056</v>
      </c>
      <c r="E63" s="22">
        <f>E56+E62</f>
        <v>0</v>
      </c>
      <c r="F63" s="22">
        <f>F56+F62</f>
        <v>219567</v>
      </c>
      <c r="G63" s="22">
        <f>G56+G62</f>
        <v>213.19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246149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782503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1028652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22992.74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9670.34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22623.21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735.74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55286.29</v>
      </c>
      <c r="D78" s="130">
        <f>SUM(D72:D77)</f>
        <v>735.74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1083938.29</v>
      </c>
      <c r="D81" s="130">
        <f>SUM(D79:D80)+D78+D70</f>
        <v>735.74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9132.5300000000007</v>
      </c>
      <c r="E88" s="95">
        <f>SUM('DOE25'!H153:H161)</f>
        <v>59970.130000000005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506.3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506.3</v>
      </c>
      <c r="D91" s="131">
        <f>SUM(D85:D90)</f>
        <v>9132.5300000000007</v>
      </c>
      <c r="E91" s="131">
        <f>SUM(E85:E90)</f>
        <v>59970.130000000005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7050.73</v>
      </c>
      <c r="E96" s="95">
        <f>'DOE25'!H179</f>
        <v>0</v>
      </c>
      <c r="F96" s="95">
        <f>'DOE25'!I179</f>
        <v>0</v>
      </c>
      <c r="G96" s="95">
        <f>'DOE25'!J179</f>
        <v>125414.39999999999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80000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7050.73</v>
      </c>
      <c r="E103" s="86">
        <f>SUM(E93:E102)</f>
        <v>0</v>
      </c>
      <c r="F103" s="86">
        <f>SUM(F93:F102)</f>
        <v>80000</v>
      </c>
      <c r="G103" s="86">
        <f>SUM(G93:G102)</f>
        <v>125414.39999999999</v>
      </c>
    </row>
    <row r="104" spans="1:7" ht="12.75" thickTop="1" thickBot="1" x14ac:dyDescent="0.25">
      <c r="A104" s="33" t="s">
        <v>765</v>
      </c>
      <c r="C104" s="86">
        <f>C63+C81+C91+C103</f>
        <v>5543211.8599999994</v>
      </c>
      <c r="D104" s="86">
        <f>D63+D81+D91+D103</f>
        <v>59975</v>
      </c>
      <c r="E104" s="86">
        <f>E63+E81+E91+E103</f>
        <v>59970.130000000005</v>
      </c>
      <c r="F104" s="86">
        <f>F63+F81+F91+F103</f>
        <v>299567</v>
      </c>
      <c r="G104" s="86">
        <f>G63+G81+G103</f>
        <v>125627.59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3409063.1900000004</v>
      </c>
      <c r="D109" s="24" t="s">
        <v>289</v>
      </c>
      <c r="E109" s="95">
        <f>('DOE25'!L276)+('DOE25'!L295)+('DOE25'!L314)</f>
        <v>5440.85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662698.25</v>
      </c>
      <c r="D110" s="24" t="s">
        <v>289</v>
      </c>
      <c r="E110" s="95">
        <f>('DOE25'!L277)+('DOE25'!L296)+('DOE25'!L315)</f>
        <v>11480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26260.5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4098021.9400000004</v>
      </c>
      <c r="D115" s="86">
        <f>SUM(D109:D114)</f>
        <v>0</v>
      </c>
      <c r="E115" s="86">
        <f>SUM(E109:E114)</f>
        <v>16920.849999999999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211989.11999999997</v>
      </c>
      <c r="D118" s="24" t="s">
        <v>289</v>
      </c>
      <c r="E118" s="95">
        <f>+('DOE25'!L281)+('DOE25'!L300)+('DOE25'!L319)</f>
        <v>42474.28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77140.5</v>
      </c>
      <c r="D119" s="24" t="s">
        <v>289</v>
      </c>
      <c r="E119" s="95">
        <f>+('DOE25'!L282)+('DOE25'!L301)+('DOE25'!L320)</f>
        <v>575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266403.49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230721.96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249211.03000000003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93445.03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59975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1128911.1299999999</v>
      </c>
      <c r="D128" s="86">
        <f>SUM(D118:D127)</f>
        <v>59975</v>
      </c>
      <c r="E128" s="86">
        <f>SUM(E118:E127)</f>
        <v>43049.279999999999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68885.27</v>
      </c>
      <c r="D130" s="24" t="s">
        <v>289</v>
      </c>
      <c r="E130" s="129">
        <f>'DOE25'!L336</f>
        <v>0</v>
      </c>
      <c r="F130" s="129">
        <f>SUM('DOE25'!L374:'DOE25'!L380)</f>
        <v>1163143.9200000002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6721.88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80000</v>
      </c>
    </row>
    <row r="135" spans="1:7" x14ac:dyDescent="0.2">
      <c r="A135" t="s">
        <v>233</v>
      </c>
      <c r="B135" s="32" t="s">
        <v>234</v>
      </c>
      <c r="C135" s="95">
        <f>'DOE25'!L263</f>
        <v>7050.73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125627.59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-213.19000000000233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283072.28000000003</v>
      </c>
      <c r="D144" s="141">
        <f>SUM(D130:D143)</f>
        <v>0</v>
      </c>
      <c r="E144" s="141">
        <f>SUM(E130:E143)</f>
        <v>0</v>
      </c>
      <c r="F144" s="141">
        <f>SUM(F130:F143)</f>
        <v>1163143.9200000002</v>
      </c>
      <c r="G144" s="141">
        <f>SUM(G130:G143)</f>
        <v>80000</v>
      </c>
    </row>
    <row r="145" spans="1:9" ht="12.75" thickTop="1" thickBot="1" x14ac:dyDescent="0.25">
      <c r="A145" s="33" t="s">
        <v>244</v>
      </c>
      <c r="C145" s="86">
        <f>(C115+C128+C144)</f>
        <v>5510005.3500000006</v>
      </c>
      <c r="D145" s="86">
        <f>(D115+D128+D144)</f>
        <v>59975</v>
      </c>
      <c r="E145" s="86">
        <f>(E115+E128+E144)</f>
        <v>59970.13</v>
      </c>
      <c r="F145" s="86">
        <f>(F115+F128+F144)</f>
        <v>1163143.9200000002</v>
      </c>
      <c r="G145" s="86">
        <f>(G115+G128+G144)</f>
        <v>80000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8/1994</v>
      </c>
      <c r="C152" s="152" t="str">
        <f>'DOE25'!G491</f>
        <v>8/1994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8/20/14</v>
      </c>
      <c r="C153" s="152" t="str">
        <f>'DOE25'!G492</f>
        <v>8/20/14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600000</v>
      </c>
      <c r="C154" s="137">
        <f>'DOE25'!G493</f>
        <v>900000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5.82</v>
      </c>
      <c r="C155" s="137">
        <f>'DOE25'!G494</f>
        <v>5.63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60000</v>
      </c>
      <c r="C156" s="137">
        <f>'DOE25'!G495</f>
        <v>90000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150000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30000</v>
      </c>
      <c r="C158" s="137">
        <f>'DOE25'!G497</f>
        <v>45000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75000</v>
      </c>
    </row>
    <row r="159" spans="1:9" x14ac:dyDescent="0.2">
      <c r="A159" s="22" t="s">
        <v>35</v>
      </c>
      <c r="B159" s="137">
        <f>'DOE25'!F498</f>
        <v>30000</v>
      </c>
      <c r="C159" s="137">
        <f>'DOE25'!G498</f>
        <v>45000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75000</v>
      </c>
    </row>
    <row r="160" spans="1:9" x14ac:dyDescent="0.2">
      <c r="A160" s="22" t="s">
        <v>36</v>
      </c>
      <c r="B160" s="137">
        <f>'DOE25'!F499</f>
        <v>918.75</v>
      </c>
      <c r="C160" s="137">
        <f>'DOE25'!G499</f>
        <v>1321.88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2240.63</v>
      </c>
    </row>
    <row r="161" spans="1:7" x14ac:dyDescent="0.2">
      <c r="A161" s="22" t="s">
        <v>37</v>
      </c>
      <c r="B161" s="137">
        <f>'DOE25'!F500</f>
        <v>30918.75</v>
      </c>
      <c r="C161" s="137">
        <f>'DOE25'!G500</f>
        <v>46321.88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77240.63</v>
      </c>
    </row>
    <row r="162" spans="1:7" x14ac:dyDescent="0.2">
      <c r="A162" s="22" t="s">
        <v>38</v>
      </c>
      <c r="B162" s="137">
        <f>'DOE25'!F501</f>
        <v>30000</v>
      </c>
      <c r="C162" s="137">
        <f>'DOE25'!G501</f>
        <v>45000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75000</v>
      </c>
    </row>
    <row r="163" spans="1:7" x14ac:dyDescent="0.2">
      <c r="A163" s="22" t="s">
        <v>39</v>
      </c>
      <c r="B163" s="137">
        <f>'DOE25'!F502</f>
        <v>918.75</v>
      </c>
      <c r="C163" s="137">
        <f>'DOE25'!G502</f>
        <v>1321.88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2240.63</v>
      </c>
    </row>
    <row r="164" spans="1:7" x14ac:dyDescent="0.2">
      <c r="A164" s="22" t="s">
        <v>246</v>
      </c>
      <c r="B164" s="137">
        <f>'DOE25'!F503</f>
        <v>30918.75</v>
      </c>
      <c r="C164" s="137">
        <f>'DOE25'!G503</f>
        <v>46321.88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77240.63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"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Lyme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17801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17801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3414504</v>
      </c>
      <c r="D10" s="182">
        <f>ROUND((C10/$C$28)*100,1)</f>
        <v>64.3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674178</v>
      </c>
      <c r="D11" s="182">
        <f>ROUND((C11/$C$28)*100,1)</f>
        <v>12.7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26261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254463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77716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266403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230722</v>
      </c>
      <c r="D18" s="182">
        <f t="shared" si="0"/>
        <v>4.3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249211</v>
      </c>
      <c r="D20" s="182">
        <f t="shared" si="0"/>
        <v>4.7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93445</v>
      </c>
      <c r="D21" s="182">
        <f t="shared" si="0"/>
        <v>1.8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6722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16919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5310544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1232029</v>
      </c>
    </row>
    <row r="30" spans="1:4" x14ac:dyDescent="0.2">
      <c r="B30" s="187" t="s">
        <v>729</v>
      </c>
      <c r="C30" s="180">
        <f>SUM(C28:C29)</f>
        <v>6542573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4389899</v>
      </c>
      <c r="D35" s="182">
        <f t="shared" ref="D35:D40" si="1">ROUND((C35/$C$41)*100,1)</f>
        <v>75.3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288648.45999999996</v>
      </c>
      <c r="D36" s="182">
        <f t="shared" si="1"/>
        <v>4.9000000000000004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1028652</v>
      </c>
      <c r="D37" s="182">
        <f t="shared" si="1"/>
        <v>17.600000000000001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56022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69609</v>
      </c>
      <c r="D39" s="182">
        <f t="shared" si="1"/>
        <v>1.2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5832830.46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Lyme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2014-09-04T16:21:08Z</cp:lastPrinted>
  <dcterms:created xsi:type="dcterms:W3CDTF">1997-12-04T19:04:30Z</dcterms:created>
  <dcterms:modified xsi:type="dcterms:W3CDTF">2014-09-18T17:20:14Z</dcterms:modified>
</cp:coreProperties>
</file>