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31" i="1" l="1"/>
  <c r="H531" i="1"/>
  <c r="I507" i="1"/>
  <c r="H472" i="1" l="1"/>
  <c r="H468" i="1"/>
  <c r="G472" i="1"/>
  <c r="G468" i="1"/>
  <c r="F468" i="1"/>
  <c r="H282" i="1" l="1"/>
  <c r="G97" i="1"/>
  <c r="H2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19" i="2" s="1"/>
  <c r="L221" i="1"/>
  <c r="L239" i="1"/>
  <c r="F12" i="13"/>
  <c r="G12" i="13"/>
  <c r="L205" i="1"/>
  <c r="C121" i="2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L279" i="1"/>
  <c r="E112" i="2" s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F662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K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C62" i="2" s="1"/>
  <c r="C63" i="2" s="1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I369" i="1" s="1"/>
  <c r="H634" i="1" s="1"/>
  <c r="J634" i="1" s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I545" i="1" s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G644" i="1"/>
  <c r="G645" i="1"/>
  <c r="G649" i="1"/>
  <c r="G650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L351" i="1"/>
  <c r="A31" i="12"/>
  <c r="A40" i="12"/>
  <c r="D18" i="13"/>
  <c r="C18" i="13" s="1"/>
  <c r="D18" i="2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D91" i="2"/>
  <c r="E62" i="2"/>
  <c r="E63" i="2" s="1"/>
  <c r="D29" i="13"/>
  <c r="C29" i="13" s="1"/>
  <c r="D19" i="13"/>
  <c r="C19" i="13" s="1"/>
  <c r="E13" i="13"/>
  <c r="C13" i="13" s="1"/>
  <c r="E78" i="2"/>
  <c r="E81" i="2" s="1"/>
  <c r="L427" i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J643" i="1"/>
  <c r="J476" i="1"/>
  <c r="H626" i="1" s="1"/>
  <c r="H476" i="1"/>
  <c r="H624" i="1" s="1"/>
  <c r="J624" i="1" s="1"/>
  <c r="I476" i="1"/>
  <c r="H625" i="1" s="1"/>
  <c r="J625" i="1" s="1"/>
  <c r="F169" i="1"/>
  <c r="J140" i="1"/>
  <c r="F571" i="1"/>
  <c r="I552" i="1"/>
  <c r="G22" i="2"/>
  <c r="K545" i="1"/>
  <c r="C29" i="10"/>
  <c r="H140" i="1"/>
  <c r="L393" i="1"/>
  <c r="C138" i="2" s="1"/>
  <c r="F22" i="13"/>
  <c r="H25" i="13"/>
  <c r="C25" i="13" s="1"/>
  <c r="H571" i="1"/>
  <c r="L560" i="1"/>
  <c r="J545" i="1"/>
  <c r="H338" i="1"/>
  <c r="H352" i="1" s="1"/>
  <c r="F338" i="1"/>
  <c r="F352" i="1" s="1"/>
  <c r="H192" i="1"/>
  <c r="C35" i="10"/>
  <c r="L309" i="1"/>
  <c r="E16" i="13"/>
  <c r="J655" i="1"/>
  <c r="L570" i="1"/>
  <c r="I571" i="1"/>
  <c r="J636" i="1"/>
  <c r="G36" i="2"/>
  <c r="L565" i="1"/>
  <c r="C22" i="13"/>
  <c r="C16" i="13"/>
  <c r="H33" i="13"/>
  <c r="A13" i="12" l="1"/>
  <c r="L544" i="1"/>
  <c r="J552" i="1"/>
  <c r="K551" i="1"/>
  <c r="H545" i="1"/>
  <c r="G545" i="1"/>
  <c r="K549" i="1"/>
  <c r="F552" i="1"/>
  <c r="L524" i="1"/>
  <c r="H408" i="1"/>
  <c r="H644" i="1" s="1"/>
  <c r="J644" i="1" s="1"/>
  <c r="I460" i="1"/>
  <c r="I461" i="1" s="1"/>
  <c r="H642" i="1" s="1"/>
  <c r="J640" i="1"/>
  <c r="I446" i="1"/>
  <c r="G642" i="1" s="1"/>
  <c r="K598" i="1"/>
  <c r="G647" i="1" s="1"/>
  <c r="J649" i="1"/>
  <c r="G476" i="1"/>
  <c r="H623" i="1" s="1"/>
  <c r="J623" i="1" s="1"/>
  <c r="C110" i="2"/>
  <c r="I661" i="1"/>
  <c r="D145" i="2"/>
  <c r="E128" i="2"/>
  <c r="E145" i="2" s="1"/>
  <c r="K338" i="1"/>
  <c r="K352" i="1" s="1"/>
  <c r="C15" i="10"/>
  <c r="E115" i="2"/>
  <c r="L290" i="1"/>
  <c r="C10" i="10"/>
  <c r="J257" i="1"/>
  <c r="J271" i="1" s="1"/>
  <c r="I257" i="1"/>
  <c r="I271" i="1" s="1"/>
  <c r="G257" i="1"/>
  <c r="G271" i="1" s="1"/>
  <c r="F257" i="1"/>
  <c r="F271" i="1" s="1"/>
  <c r="L229" i="1"/>
  <c r="G660" i="1" s="1"/>
  <c r="G664" i="1" s="1"/>
  <c r="G672" i="1" s="1"/>
  <c r="C5" i="10" s="1"/>
  <c r="D14" i="13"/>
  <c r="C14" i="13" s="1"/>
  <c r="C18" i="10"/>
  <c r="D12" i="13"/>
  <c r="C12" i="13" s="1"/>
  <c r="E8" i="13"/>
  <c r="C8" i="13" s="1"/>
  <c r="C17" i="10"/>
  <c r="D7" i="13"/>
  <c r="C7" i="13" s="1"/>
  <c r="C16" i="10"/>
  <c r="D6" i="13"/>
  <c r="C6" i="13" s="1"/>
  <c r="C118" i="2"/>
  <c r="C11" i="10"/>
  <c r="D5" i="13"/>
  <c r="C5" i="13" s="1"/>
  <c r="C109" i="2"/>
  <c r="L211" i="1"/>
  <c r="H52" i="1"/>
  <c r="H619" i="1" s="1"/>
  <c r="J619" i="1" s="1"/>
  <c r="C81" i="2"/>
  <c r="C104" i="2" s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G635" i="1"/>
  <c r="J635" i="1" s="1"/>
  <c r="J642" i="1" l="1"/>
  <c r="G104" i="2"/>
  <c r="L545" i="1"/>
  <c r="K552" i="1"/>
  <c r="H646" i="1"/>
  <c r="J646" i="1" s="1"/>
  <c r="C115" i="2"/>
  <c r="D31" i="13"/>
  <c r="C31" i="13" s="1"/>
  <c r="L338" i="1"/>
  <c r="L352" i="1" s="1"/>
  <c r="G633" i="1" s="1"/>
  <c r="J633" i="1" s="1"/>
  <c r="F660" i="1"/>
  <c r="F664" i="1" s="1"/>
  <c r="H648" i="1"/>
  <c r="J648" i="1" s="1"/>
  <c r="G667" i="1"/>
  <c r="E33" i="13"/>
  <c r="D35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72" i="1" l="1"/>
  <c r="C4" i="10" s="1"/>
  <c r="F667" i="1"/>
  <c r="C41" i="10"/>
  <c r="D38" i="10" s="1"/>
  <c r="D37" i="10" l="1"/>
  <c r="D36" i="10"/>
  <c r="D35" i="10"/>
  <c r="D40" i="10"/>
  <c r="D39" i="10"/>
  <c r="D41" i="10" l="1"/>
  <c r="C6" i="10" l="1"/>
  <c r="L244" i="1"/>
  <c r="G651" i="1" s="1"/>
  <c r="J651" i="1" s="1"/>
  <c r="C124" i="2"/>
  <c r="C128" i="2" s="1"/>
  <c r="C145" i="2" s="1"/>
  <c r="H247" i="1"/>
  <c r="H257" i="1"/>
  <c r="H271" i="1" s="1"/>
  <c r="D15" i="13" l="1"/>
  <c r="D33" i="13" s="1"/>
  <c r="D36" i="13" s="1"/>
  <c r="L247" i="1"/>
  <c r="C21" i="10"/>
  <c r="C15" i="13"/>
  <c r="H662" i="1"/>
  <c r="I662" i="1" s="1"/>
  <c r="H647" i="1"/>
  <c r="J647" i="1" s="1"/>
  <c r="C28" i="10" l="1"/>
  <c r="L257" i="1"/>
  <c r="L271" i="1" s="1"/>
  <c r="H660" i="1"/>
  <c r="G632" i="1" l="1"/>
  <c r="F472" i="1"/>
  <c r="H664" i="1"/>
  <c r="I660" i="1"/>
  <c r="I664" i="1" s="1"/>
  <c r="D19" i="10"/>
  <c r="D22" i="10"/>
  <c r="D16" i="10"/>
  <c r="D13" i="10"/>
  <c r="D15" i="10"/>
  <c r="D23" i="10"/>
  <c r="C30" i="10"/>
  <c r="D18" i="10"/>
  <c r="D27" i="10"/>
  <c r="D12" i="10"/>
  <c r="D25" i="10"/>
  <c r="D20" i="10"/>
  <c r="D10" i="10"/>
  <c r="D17" i="10"/>
  <c r="D24" i="10"/>
  <c r="D11" i="10"/>
  <c r="D26" i="10"/>
  <c r="D21" i="10"/>
  <c r="F474" i="1" l="1"/>
  <c r="F476" i="1" s="1"/>
  <c r="H622" i="1" s="1"/>
  <c r="H632" i="1"/>
  <c r="J632" i="1" s="1"/>
  <c r="I667" i="1"/>
  <c r="I672" i="1"/>
  <c r="C7" i="10" s="1"/>
  <c r="D28" i="10"/>
  <c r="H667" i="1"/>
  <c r="H672" i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<sst xmlns="http://schemas.openxmlformats.org/spreadsheetml/2006/main" count="3958" uniqueCount="916">
  <si>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</si>
  <si>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</si>
  <si>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</si>
  <si>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</si>
  <si>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</si>
  <si>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</si>
  <si>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</si>
  <si>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</si>
  <si>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</si>
  <si>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</si>
  <si>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</si>
  <si>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</si>
  <si>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</si>
  <si>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</si>
  <si>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</si>
  <si>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</si>
  <si>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</si>
  <si>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</si>
  <si>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</si>
  <si>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</si>
  <si>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</si>
  <si>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</si>
  <si>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</si>
  <si>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</si>
  <si>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</si>
  <si>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</si>
  <si>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</si>
  <si>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</si>
  <si>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</si>
  <si>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</si>
  <si>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</si>
  <si>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</si>
  <si>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</si>
  <si>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</si>
  <si>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</si>
  <si>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</si>
  <si>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</si>
  <si>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</si>
  <si>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</si>
  <si>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</si>
  <si>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</si>
  <si>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</si>
  <si>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</si>
  <si>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</si>
  <si>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</si>
  <si>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</si>
  <si>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</si>
  <si>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</si>
  <si>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</si>
  <si>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</si>
  <si>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</si>
  <si>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</si>
  <si>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</si>
  <si>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</si>
  <si>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</si>
  <si>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</si>
  <si>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</si>
  <si>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</si>
  <si>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</si>
  <si>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</si>
  <si>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</si>
  <si>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</si>
  <si>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</si>
  <si>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</si>
  <si>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</si>
  <si>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</si>
  <si>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</si>
  <si>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</si>
  <si>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</si>
  <si>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</si>
  <si>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</si>
  <si>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</si>
  <si>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</si>
  <si>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</si>
  <si>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</si>
  <si>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</si>
  <si>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</si>
  <si>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</si>
  <si>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</si>
  <si>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</si>
  <si>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</si>
  <si>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</si>
  <si>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</si>
  <si>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</si>
  <si>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</si>
  <si>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</si>
  <si>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</si>
  <si>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</si>
  <si>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</si>
  <si>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</si>
  <si>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</si>
  <si>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</si>
  <si>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</si>
  <si>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</si>
  <si>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</si>
  <si>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</si>
  <si>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</si>
  <si>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</si>
  <si>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</si>
  <si>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</si>
  <si>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</si>
  <si>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</si>
  <si>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</si>
  <si>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</si>
  <si>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</si>
  <si>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</si>
  <si>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</si>
  <si>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</si>
  <si>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</si>
  <si>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</si>
  <si>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</si>
  <si>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</si>
  <si>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</si>
  <si>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</si>
  <si>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</si>
  <si>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</si>
  <si>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</si>
  <si>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</si>
  <si>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</si>
  <si>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</si>
  <si>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</si>
  <si>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</si>
  <si>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</si>
  <si>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</si>
  <si>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</si>
  <si>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</si>
  <si>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</si>
  <si>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</si>
  <si>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</si>
  <si>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</si>
  <si>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</si>
  <si>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</si>
  <si>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</si>
  <si>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</si>
  <si>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</si>
  <si>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</si>
  <si>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</si>
  <si>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</si>
  <si>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</si>
  <si>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</si>
  <si>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</si>
  <si>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</si>
  <si>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</si>
  <si>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</si>
  <si>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</si>
  <si>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</si>
  <si>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</si>
  <si>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</si>
  <si>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</si>
  <si>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</si>
  <si>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</si>
  <si>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</si>
  <si>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</si>
  <si>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</si>
  <si>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</si>
  <si>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</si>
  <si>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</si>
  <si>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</si>
  <si>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</si>
  <si>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</si>
  <si>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</si>
  <si>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</si>
  <si>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</si>
  <si>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</si>
  <si>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</si>
  <si>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</si>
  <si>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</si>
  <si>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</si>
  <si>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</si>
  <si>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</si>
  <si>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</si>
  <si>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</si>
  <si>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</si>
  <si>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</si>
  <si>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</si>
  <si>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</si>
  <si>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</si>
  <si>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</si>
  <si>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</si>
  <si>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</si>
  <si>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</si>
  <si>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</si>
  <si>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</si>
  <si>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</si>
  <si>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</si>
  <si>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</si>
  <si>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</si>
  <si>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</si>
  <si>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</si>
  <si>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</si>
  <si>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</si>
  <si>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</si>
  <si>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</si>
  <si>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</si>
  <si>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</si>
  <si>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</si>
  <si>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</si>
  <si>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</si>
  <si>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</si>
  <si>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</si>
  <si>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</si>
  <si>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</si>
  <si>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</si>
  <si>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</si>
  <si>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</si>
  <si>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</si>
  <si>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</si>
  <si>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</si>
  <si>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</si>
  <si>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</si>
  <si>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</si>
  <si>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</si>
  <si>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</si>
  <si>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</si>
  <si>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</si>
  <si>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</si>
  <si>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</si>
  <si>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</si>
  <si>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</si>
  <si>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</si>
  <si>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</si>
  <si>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</si>
  <si>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</si>
  <si>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</si>
  <si>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</si>
  <si>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</si>
  <si>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</si>
  <si>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</si>
  <si>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</si>
  <si>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</si>
  <si>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</si>
  <si>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</si>
  <si>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</si>
  <si>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</si>
  <si>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</si>
  <si>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</si>
  <si>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</si>
  <si>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</si>
  <si>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</si>
  <si>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</si>
  <si>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</si>
  <si>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</si>
  <si>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</si>
  <si>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</si>
  <si>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</si>
  <si>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</si>
  <si>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</si>
  <si>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</si>
  <si>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</si>
  <si>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</si>
  <si>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</si>
  <si>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</si>
  <si>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</si>
  <si>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</si>
  <si>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</si>
  <si>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</si>
  <si>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</si>
  <si>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</si>
  <si>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</si>
  <si>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</si>
  <si>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</si>
  <si>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</si>
  <si>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</si>
  <si>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</si>
  <si>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</si>
  <si>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</si>
  <si>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</si>
  <si>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</si>
  <si>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</si>
  <si>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</si>
  <si>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</si>
  <si>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</si>
  <si>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</si>
  <si>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</si>
  <si>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</si>
  <si>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</si>
  <si>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</si>
  <si>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</si>
  <si>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</si>
  <si>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</si>
  <si>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</si>
  <si>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</si>
  <si>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</si>
  <si>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</si>
  <si>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</si>
  <si>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</si>
  <si>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</si>
  <si>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</si>
  <si>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</si>
  <si>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</si>
  <si>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</si>
  <si>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</si>
  <si>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</si>
  <si>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</si>
  <si>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</si>
  <si>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</si>
  <si>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</si>
  <si>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</si>
  <si>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</si>
  <si>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</si>
  <si>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</si>
  <si>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</si>
  <si>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</si>
  <si>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</si>
  <si>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</si>
  <si>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</si>
  <si>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</si>
  <si>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</si>
  <si>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</si>
  <si>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</si>
  <si>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</si>
  <si>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</si>
  <si>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</si>
  <si>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</si>
  <si>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</si>
  <si>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</si>
  <si>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</si>
  <si>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</si>
  <si>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</si>
  <si>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</si>
  <si>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</si>
  <si>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</si>
  <si>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</si>
  <si>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</si>
  <si>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</si>
  <si>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</si>
  <si>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</si>
  <si>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</si>
  <si>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</si>
  <si>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</si>
  <si>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</si>
  <si>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</si>
  <si>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</si>
  <si>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</si>
  <si>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</si>
  <si>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</si>
  <si>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</si>
  <si>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</si>
  <si>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</si>
  <si>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</si>
  <si>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</si>
  <si>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</si>
  <si>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</si>
  <si>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</si>
  <si>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</si>
  <si>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</si>
  <si>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</si>
  <si>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</si>
  <si>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</si>
  <si>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</si>
  <si>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</si>
  <si>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</si>
  <si>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</si>
  <si>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</si>
  <si>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</si>
  <si>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</si>
  <si>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</si>
  <si>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</si>
  <si>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</si>
  <si>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</si>
  <si>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</si>
  <si>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</si>
  <si>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</si>
  <si>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</si>
  <si>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</si>
  <si>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</si>
  <si>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</si>
  <si>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</si>
  <si>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</si>
  <si>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</si>
  <si>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</si>
  <si>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</si>
  <si>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</si>
  <si>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</si>
  <si>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</si>
  <si>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</si>
  <si>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</si>
  <si>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</si>
  <si>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</si>
  <si>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</si>
  <si>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</si>
  <si>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</si>
  <si>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</si>
  <si>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</si>
  <si>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</si>
  <si>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</si>
  <si>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</si>
  <si>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</si>
  <si>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</si>
  <si>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</si>
  <si>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</si>
  <si>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</si>
  <si>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</si>
  <si>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</si>
  <si>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</si>
  <si>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</si>
  <si>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</si>
  <si>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</si>
  <si>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</si>
  <si>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</si>
  <si>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</si>
  <si>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</si>
  <si>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</si>
  <si>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</si>
  <si>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</si>
  <si>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</si>
  <si>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</si>
  <si>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</si>
  <si>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</si>
  <si>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</si>
  <si>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</si>
  <si>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</si>
  <si>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</si>
  <si>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</si>
  <si>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</si>
  <si>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</si>
  <si>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</si>
  <si>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</si>
  <si>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</si>
  <si>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</si>
  <si>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</si>
  <si>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</si>
  <si>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</si>
  <si>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</si>
  <si>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</si>
  <si>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</si>
  <si>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</si>
  <si>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</si>
  <si>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</si>
  <si>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</si>
  <si>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</si>
  <si>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</si>
  <si>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</si>
  <si>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</si>
  <si>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</si>
  <si>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</si>
  <si>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</si>
  <si>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</si>
  <si>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</si>
  <si>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</si>
  <si>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</si>
  <si>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</si>
  <si>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</si>
  <si>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</si>
  <si>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</si>
  <si>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</si>
  <si>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</si>
  <si>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</si>
  <si>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</si>
  <si>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</si>
  <si>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</si>
  <si>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</si>
  <si>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</si>
  <si>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</si>
  <si>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</si>
  <si>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</si>
  <si>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</si>
  <si>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</si>
  <si>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</si>
  <si>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</si>
  <si>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</si>
  <si>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</si>
  <si>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</si>
  <si>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</si>
  <si>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</si>
  <si>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</si>
  <si>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</si>
  <si>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</si>
  <si>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</si>
  <si>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</si>
  <si>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</si>
  <si>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</si>
  <si>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</si>
  <si>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</si>
  <si>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</si>
  <si>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</si>
  <si>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</si>
  <si>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</si>
  <si>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</si>
  <si>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</si>
  <si>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</si>
  <si>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</si>
  <si>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</si>
  <si>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</si>
  <si>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</si>
  <si>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</si>
  <si>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</si>
  <si>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</si>
  <si>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</si>
  <si>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</si>
  <si>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</si>
  <si>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</si>
  <si>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</si>
  <si>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</si>
  <si>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</si>
  <si>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</si>
  <si>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</si>
  <si>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</si>
  <si>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</si>
  <si>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</si>
  <si>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</si>
  <si>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</si>
  <si>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</si>
  <si>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</si>
  <si>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</si>
  <si>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</si>
  <si>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</si>
  <si>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</si>
  <si>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</si>
  <si>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</si>
  <si>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</si>
  <si>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</si>
  <si>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</si>
  <si>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</si>
  <si>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</si>
  <si>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</si>
  <si>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</si>
  <si>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</si>
  <si>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</si>
  <si>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</si>
  <si>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</si>
  <si>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</si>
  <si>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</si>
  <si>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</si>
  <si>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</si>
  <si>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</si>
  <si>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</si>
  <si>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</si>
  <si>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</si>
  <si>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</si>
  <si>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</si>
  <si>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</si>
  <si>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</si>
  <si>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</si>
  <si>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</si>
  <si>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</si>
  <si>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</si>
  <si>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</si>
  <si>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</si>
  <si>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</si>
  <si>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</si>
  <si>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</si>
  <si>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</si>
  <si>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</si>
  <si>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</si>
  <si>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</si>
  <si>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</si>
  <si>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</si>
  <si>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</si>
  <si>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</si>
  <si>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</si>
  <si>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</si>
  <si>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</si>
  <si>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</si>
  <si>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</si>
  <si>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</si>
  <si>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</si>
  <si>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</si>
  <si>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</si>
  <si>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</si>
  <si>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</si>
  <si>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</si>
  <si>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</si>
  <si>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</si>
  <si>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</si>
  <si>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</si>
  <si>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</si>
  <si>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</si>
  <si>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</si>
  <si>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</si>
  <si>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</si>
  <si>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</si>
  <si>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</si>
  <si>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</si>
  <si>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</si>
  <si>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</si>
  <si>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</si>
  <si>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</si>
  <si>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</si>
  <si>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</si>
  <si>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</si>
  <si>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</si>
  <si>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</si>
  <si>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</si>
  <si>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</si>
  <si>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</si>
  <si>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</si>
  <si>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</si>
  <si>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</si>
  <si>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</si>
  <si>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</si>
  <si>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</si>
  <si>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</si>
  <si>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</si>
  <si>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</si>
  <si>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</si>
  <si>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</si>
  <si>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</si>
  <si>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</si>
  <si>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</si>
  <si>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</si>
  <si>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</si>
  <si>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</si>
  <si>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</si>
  <si>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</si>
  <si>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</si>
  <si>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</si>
  <si>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</si>
  <si>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</si>
  <si>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</si>
  <si>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</si>
  <si>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</si>
  <si>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</si>
  <si>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</si>
  <si>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</si>
  <si>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</si>
  <si>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</si>
  <si>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</si>
  <si>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</si>
  <si>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</si>
  <si>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</si>
  <si>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</si>
  <si>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</si>
  <si>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</si>
  <si>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</si>
  <si>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</si>
  <si>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</si>
  <si>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</si>
  <si>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</si>
  <si>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</si>
  <si>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</si>
  <si>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</si>
  <si>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</si>
  <si>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</si>
  <si>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</si>
  <si>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</si>
  <si>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</si>
  <si>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</si>
  <si>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</si>
  <si>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</si>
  <si>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</si>
  <si>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</si>
  <si>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</si>
  <si>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</si>
  <si>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</si>
  <si>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</si>
  <si>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</si>
  <si>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</si>
  <si>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</si>
  <si>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</si>
  <si>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</si>
  <si>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</si>
  <si>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</si>
  <si>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</si>
  <si>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</si>
  <si>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</si>
  <si>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</si>
  <si>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</si>
  <si>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</si>
  <si>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</si>
  <si>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</si>
  <si>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</si>
  <si>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</si>
  <si>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</si>
  <si>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</si>
  <si>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</si>
  <si>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</si>
  <si>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</si>
  <si>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</si>
  <si>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</si>
  <si>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</si>
  <si>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</si>
  <si>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</si>
  <si>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</si>
  <si>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</si>
  <si>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</si>
  <si>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</si>
  <si>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</si>
  <si>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</si>
  <si>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</si>
  <si>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</si>
  <si>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</si>
  <si>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</si>
  <si>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</si>
  <si>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</si>
  <si>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</si>
  <si>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</si>
  <si>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</si>
  <si>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</si>
  <si>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</si>
  <si>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</si>
  <si>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</si>
  <si>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</si>
  <si>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</si>
  <si>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</si>
  <si>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</si>
  <si>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</si>
  <si>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</si>
  <si>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</si>
  <si>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</si>
  <si>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</si>
  <si>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</si>
  <si>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</si>
  <si>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</si>
  <si>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</si>
  <si>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</si>
  <si>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</si>
  <si>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</si>
  <si>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</si>
  <si>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</si>
  <si>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</si>
  <si>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</si>
  <si>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</si>
  <si>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</si>
  <si>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</si>
  <si>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</si>
  <si>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</si>
  <si>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</si>
  <si>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</si>
  <si>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</si>
  <si>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</si>
  <si>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</si>
  <si>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</si>
  <si>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</si>
  <si>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</si>
  <si>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</si>
  <si>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</si>
  <si>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</si>
  <si>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</si>
  <si>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</si>
  <si>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</si>
  <si>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</si>
  <si>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</si>
  <si>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</si>
  <si>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</si>
  <si>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</si>
  <si>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</si>
  <si>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</si>
  <si>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</si>
  <si>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</si>
  <si>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</si>
  <si>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</si>
  <si>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</si>
  <si>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</si>
  <si>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</si>
  <si>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</si>
  <si>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</si>
  <si>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</si>
  <si>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</si>
  <si>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</si>
  <si>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</si>
  <si>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</si>
  <si>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</si>
  <si>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</si>
  <si>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</si>
  <si>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</si>
  <si>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</si>
  <si>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</si>
  <si>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</si>
  <si>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</si>
  <si>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</si>
  <si>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</si>
  <si>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</si>
  <si>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</si>
  <si>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</si>
  <si>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</si>
  <si>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</si>
  <si>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</si>
  <si>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</si>
  <si>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</si>
  <si>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</si>
  <si>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</si>
  <si>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</si>
  <si>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</si>
  <si>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</si>
  <si>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</si>
  <si>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</si>
  <si>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</si>
  <si>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</si>
  <si>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</si>
  <si>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</si>
  <si>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</si>
  <si>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</si>
  <si>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</si>
  <si>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</si>
  <si>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</si>
  <si>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</si>
  <si>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</si>
  <si>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</si>
  <si>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</si>
  <si>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</si>
  <si>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</si>
  <si>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</si>
  <si>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</si>
  <si>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</si>
  <si>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</si>
  <si>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</si>
  <si>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</si>
  <si>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</si>
  <si>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</si>
  <si>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</si>
  <si>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</si>
  <si>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</si>
  <si>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</si>
  <si>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</si>
  <si>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</si>
  <si>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</si>
  <si>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</si>
  <si>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</si>
  <si>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</si>
  <si>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</si>
  <si>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</si>
  <si>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</si>
  <si>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</si>
  <si>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</si>
  <si>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</si>
  <si>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</si>
  <si>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</si>
  <si>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</si>
  <si>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</si>
  <si>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</si>
  <si>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</si>
  <si>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</si>
  <si>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</si>
  <si>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</si>
  <si>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</si>
  <si>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</si>
  <si>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</si>
  <si>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</si>
  <si>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</si>
  <si>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</si>
  <si>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</si>
  <si>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</si>
  <si>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</si>
  <si>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</si>
  <si>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</si>
  <si>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</si>
  <si>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</si>
  <si>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</si>
  <si>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</si>
  <si>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</si>
  <si>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</si>
  <si>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</si>
  <si>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</si>
  <si>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</si>
  <si>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</si>
  <si>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</si>
  <si>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</si>
  <si>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</si>
  <si>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</si>
  <si>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</si>
  <si>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</si>
  <si>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</si>
  <si>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</si>
  <si>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</si>
  <si>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</si>
  <si>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</si>
  <si>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</si>
  <si>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</si>
  <si>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</si>
  <si>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</si>
  <si>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</si>
  <si>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</si>
  <si>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</si>
  <si>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</si>
  <si>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</si>
  <si>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</si>
  <si>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</si>
  <si>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</si>
  <si>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</si>
  <si>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</si>
  <si>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</si>
  <si>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</si>
  <si>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</si>
  <si>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</si>
  <si>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</si>
  <si>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</si>
  <si>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</si>
  <si>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</si>
  <si>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</si>
  <si>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</si>
  <si>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</si>
  <si>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</si>
  <si>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</si>
  <si>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</si>
  <si>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</si>
  <si>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</si>
  <si>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</si>
  <si>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</si>
  <si>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</si>
  <si>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</si>
  <si>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</si>
  <si>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</si>
  <si>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</si>
  <si>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</si>
  <si>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</si>
  <si>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</si>
  <si>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</si>
  <si>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</si>
  <si>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</si>
  <si>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</si>
  <si>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</si>
  <si>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</si>
  <si>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</si>
  <si>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</si>
  <si>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</si>
  <si>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</si>
  <si>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</si>
  <si>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</si>
  <si>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</si>
  <si>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</si>
  <si>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Madison School District</t>
  </si>
  <si>
    <t>reflected here in addition.</t>
  </si>
  <si>
    <t>This is the total amount the Board carried over in prior year of $80,704, I was not sure if the current year amount would be</t>
  </si>
  <si>
    <t xml:space="preserve">This addition is the result of errors in prior year being reflected.  Audits are now up to date to June 2013 and balances </t>
  </si>
  <si>
    <t>have been corrected.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</si>
</sst>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F23" sqref="F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333</v>
      </c>
      <c r="C2" s="21">
        <v>333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273637.15000000002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160532.1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71233.100000000006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12026.81</v>
      </c>
      <c r="G13" s="18">
        <v>16824.849999999999</v>
      </c>
      <c r="H13" s="18">
        <v>20415.3</v>
      </c>
      <c r="I13" s="18"/>
      <c r="J13" s="67">
        <f>SUM(I442)</f>
        <v>9000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285663.96000000002</v>
      </c>
      <c r="G19" s="41">
        <f>SUM(G9:G18)</f>
        <v>16824.849999999999</v>
      </c>
      <c r="H19" s="41">
        <f>SUM(H9:H18)</f>
        <v>91648.400000000009</v>
      </c>
      <c r="I19" s="41">
        <f>SUM(I9:I18)</f>
        <v>0</v>
      </c>
      <c r="J19" s="41">
        <f>SUM(J9:J18)</f>
        <v>169532.1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63495.67</v>
      </c>
      <c r="G22" s="18">
        <v>16737.43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f>54509.41+12094.66</f>
        <v>66604.070000000007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35849.15</v>
      </c>
      <c r="G24" s="18">
        <v>87.42</v>
      </c>
      <c r="H24" s="18">
        <v>83.6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24960.73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99344.82</v>
      </c>
      <c r="G32" s="41">
        <f>SUM(G22:G31)</f>
        <v>16824.849999999999</v>
      </c>
      <c r="H32" s="41">
        <f>SUM(H22:H31)</f>
        <v>91648.400000000009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80704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169532.1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9442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96173.14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186319.14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169532.1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285663.96000000002</v>
      </c>
      <c r="G52" s="41">
        <f>G51+G32</f>
        <v>16824.849999999999</v>
      </c>
      <c r="H52" s="41">
        <f>H51+H32</f>
        <v>91648.400000000009</v>
      </c>
      <c r="I52" s="41">
        <f>I51+I32</f>
        <v>0</v>
      </c>
      <c r="J52" s="41">
        <f>J51+J32</f>
        <v>169532.1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3900989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3900989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4480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4480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142.19</v>
      </c>
      <c r="G96" s="18"/>
      <c r="H96" s="18"/>
      <c r="I96" s="18"/>
      <c r="J96" s="18">
        <v>70.099999999999994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28365.15+3123.08</f>
        <v>31488.230000000003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33527.949999999997</v>
      </c>
      <c r="G110" s="18">
        <v>44516.88</v>
      </c>
      <c r="H110" s="18">
        <v>5586.06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33670.14</v>
      </c>
      <c r="G111" s="41">
        <f>SUM(G96:G110)</f>
        <v>76005.11</v>
      </c>
      <c r="H111" s="41">
        <f>SUM(H96:H110)</f>
        <v>5586.06</v>
      </c>
      <c r="I111" s="41">
        <f>SUM(I96:I110)</f>
        <v>0</v>
      </c>
      <c r="J111" s="41">
        <f>SUM(J96:J110)</f>
        <v>70.099999999999994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3939139.14</v>
      </c>
      <c r="G112" s="41">
        <f>G60+G111</f>
        <v>76005.11</v>
      </c>
      <c r="H112" s="41">
        <f>H60+H79+H94+H111</f>
        <v>5586.06</v>
      </c>
      <c r="I112" s="41">
        <f>I60+I111</f>
        <v>0</v>
      </c>
      <c r="J112" s="41">
        <f>J60+J111</f>
        <v>70.099999999999994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518230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1093470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1611700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7623.1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1876.5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7623.1</v>
      </c>
      <c r="G136" s="41">
        <f>SUM(G123:G135)</f>
        <v>1876.5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1619323.1</v>
      </c>
      <c r="G140" s="41">
        <f>G121+SUM(G136:G137)</f>
        <v>1876.5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49692.800000000003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33897.660000000003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55166.03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33679.699999999997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33679.699999999997</v>
      </c>
      <c r="G162" s="41">
        <f>SUM(G150:G161)</f>
        <v>55166.03</v>
      </c>
      <c r="H162" s="41">
        <f>SUM(H150:H161)</f>
        <v>83590.460000000006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33679.699999999997</v>
      </c>
      <c r="G169" s="41">
        <f>G147+G162+SUM(G163:G168)</f>
        <v>55166.03</v>
      </c>
      <c r="H169" s="41">
        <f>H147+H162+SUM(H163:H168)</f>
        <v>83590.460000000006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6719.2</v>
      </c>
      <c r="H179" s="18"/>
      <c r="I179" s="18"/>
      <c r="J179" s="18">
        <v>9000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6719.2</v>
      </c>
      <c r="H183" s="41">
        <f>SUM(H179:H182)</f>
        <v>0</v>
      </c>
      <c r="I183" s="41">
        <f>SUM(I179:I182)</f>
        <v>0</v>
      </c>
      <c r="J183" s="41">
        <f>SUM(J179:J182)</f>
        <v>9000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6719.2</v>
      </c>
      <c r="H192" s="41">
        <f>+H183+SUM(H188:H191)</f>
        <v>0</v>
      </c>
      <c r="I192" s="41">
        <f>I177+I183+SUM(I188:I191)</f>
        <v>0</v>
      </c>
      <c r="J192" s="41">
        <f>J183</f>
        <v>9000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5592141.9400000004</v>
      </c>
      <c r="G193" s="47">
        <f>G112+G140+G169+G192</f>
        <v>139766.84000000003</v>
      </c>
      <c r="H193" s="47">
        <f>H112+H140+H169+H192</f>
        <v>89176.52</v>
      </c>
      <c r="I193" s="47">
        <f>I112+I140+I169+I192</f>
        <v>0</v>
      </c>
      <c r="J193" s="47">
        <f>J112+J140+J192</f>
        <v>9070.1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840573.72</v>
      </c>
      <c r="G197" s="18">
        <v>399175.49</v>
      </c>
      <c r="H197" s="18">
        <v>244084.82</v>
      </c>
      <c r="I197" s="18">
        <v>27825.65</v>
      </c>
      <c r="J197" s="18">
        <v>76581.95</v>
      </c>
      <c r="K197" s="18">
        <v>99.2</v>
      </c>
      <c r="L197" s="19">
        <f>SUM(F197:K197)</f>
        <v>1588340.8299999998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215114.62</v>
      </c>
      <c r="G198" s="18">
        <v>106261</v>
      </c>
      <c r="H198" s="18">
        <v>118032.1</v>
      </c>
      <c r="I198" s="18">
        <v>426.75</v>
      </c>
      <c r="J198" s="18"/>
      <c r="K198" s="18"/>
      <c r="L198" s="19">
        <f>SUM(F198:K198)</f>
        <v>439834.47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28882.13</v>
      </c>
      <c r="G200" s="18">
        <v>2689.93</v>
      </c>
      <c r="H200" s="18">
        <v>2400</v>
      </c>
      <c r="I200" s="18">
        <v>1106.3900000000001</v>
      </c>
      <c r="J200" s="18">
        <v>500.46</v>
      </c>
      <c r="K200" s="18">
        <v>396.5</v>
      </c>
      <c r="L200" s="19">
        <f>SUM(F200:K200)</f>
        <v>35975.409999999996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133289</v>
      </c>
      <c r="G202" s="18">
        <v>69212.05</v>
      </c>
      <c r="H202" s="18">
        <v>45111.38</v>
      </c>
      <c r="I202" s="18">
        <v>1093.28</v>
      </c>
      <c r="J202" s="18">
        <v>115</v>
      </c>
      <c r="K202" s="18">
        <v>308</v>
      </c>
      <c r="L202" s="19">
        <f t="shared" ref="L202:L208" si="0">SUM(F202:K202)</f>
        <v>249128.71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52122.59</v>
      </c>
      <c r="G203" s="18">
        <v>52014.080000000002</v>
      </c>
      <c r="H203" s="18">
        <v>10965.87</v>
      </c>
      <c r="I203" s="18">
        <v>5644.12</v>
      </c>
      <c r="J203" s="18"/>
      <c r="K203" s="18"/>
      <c r="L203" s="19">
        <f t="shared" si="0"/>
        <v>120746.65999999999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8150</v>
      </c>
      <c r="G204" s="18">
        <v>623.49</v>
      </c>
      <c r="H204" s="18">
        <v>259549.77</v>
      </c>
      <c r="I204" s="18"/>
      <c r="J204" s="18"/>
      <c r="K204" s="18">
        <v>3071.19</v>
      </c>
      <c r="L204" s="19">
        <f t="shared" si="0"/>
        <v>271394.45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121114.84</v>
      </c>
      <c r="G205" s="18">
        <v>72197.66</v>
      </c>
      <c r="H205" s="18">
        <v>897.33</v>
      </c>
      <c r="I205" s="18">
        <v>3792.64</v>
      </c>
      <c r="J205" s="18"/>
      <c r="K205" s="18">
        <v>244</v>
      </c>
      <c r="L205" s="19">
        <f t="shared" si="0"/>
        <v>198246.47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65667.03</v>
      </c>
      <c r="G207" s="18">
        <v>41882.22</v>
      </c>
      <c r="H207" s="18">
        <v>88266.45</v>
      </c>
      <c r="I207" s="18">
        <v>91655.2</v>
      </c>
      <c r="J207" s="18">
        <v>16278.11</v>
      </c>
      <c r="K207" s="18"/>
      <c r="L207" s="19">
        <f t="shared" si="0"/>
        <v>303749.01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30879.26</v>
      </c>
      <c r="G208" s="18">
        <v>8754.6</v>
      </c>
      <c r="H208" s="18">
        <v>35653.800000000003</v>
      </c>
      <c r="I208" s="18">
        <v>12677.72</v>
      </c>
      <c r="J208" s="18">
        <v>8323.2900000000009</v>
      </c>
      <c r="K208" s="18"/>
      <c r="L208" s="19">
        <f t="shared" si="0"/>
        <v>96288.670000000013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1495793.19</v>
      </c>
      <c r="G211" s="41">
        <f t="shared" si="1"/>
        <v>752810.5199999999</v>
      </c>
      <c r="H211" s="41">
        <f t="shared" si="1"/>
        <v>804961.52</v>
      </c>
      <c r="I211" s="41">
        <f t="shared" si="1"/>
        <v>144221.75</v>
      </c>
      <c r="J211" s="41">
        <f t="shared" si="1"/>
        <v>101798.81</v>
      </c>
      <c r="K211" s="41">
        <f t="shared" si="1"/>
        <v>4118.8900000000003</v>
      </c>
      <c r="L211" s="41">
        <f t="shared" si="1"/>
        <v>3303704.6800000006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830765</v>
      </c>
      <c r="I215" s="18"/>
      <c r="J215" s="18"/>
      <c r="K215" s="18"/>
      <c r="L215" s="19">
        <f>SUM(F215:K215)</f>
        <v>830765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85564.5</v>
      </c>
      <c r="I216" s="18"/>
      <c r="J216" s="18"/>
      <c r="K216" s="18"/>
      <c r="L216" s="19">
        <f>SUM(F216:K216)</f>
        <v>85564.5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10592.9</v>
      </c>
      <c r="G226" s="18">
        <v>3103.84</v>
      </c>
      <c r="H226" s="18">
        <v>66676.36</v>
      </c>
      <c r="I226" s="18">
        <v>4494.74</v>
      </c>
      <c r="J226" s="18">
        <v>2950.93</v>
      </c>
      <c r="K226" s="18"/>
      <c r="L226" s="19">
        <f t="shared" si="2"/>
        <v>87818.77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10592.9</v>
      </c>
      <c r="G229" s="41">
        <f>SUM(G215:G228)</f>
        <v>3103.84</v>
      </c>
      <c r="H229" s="41">
        <f>SUM(H215:H228)</f>
        <v>983005.86</v>
      </c>
      <c r="I229" s="41">
        <f>SUM(I215:I228)</f>
        <v>4494.74</v>
      </c>
      <c r="J229" s="41">
        <f>SUM(J215:J228)</f>
        <v>2950.93</v>
      </c>
      <c r="K229" s="41">
        <f t="shared" si="3"/>
        <v>0</v>
      </c>
      <c r="L229" s="41">
        <f t="shared" si="3"/>
        <v>1004148.27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1146119</v>
      </c>
      <c r="I233" s="18"/>
      <c r="J233" s="18"/>
      <c r="K233" s="18"/>
      <c r="L233" s="19">
        <f>SUM(F233:K233)</f>
        <v>1146119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77581.64</v>
      </c>
      <c r="I234" s="18"/>
      <c r="J234" s="18"/>
      <c r="K234" s="18"/>
      <c r="L234" s="19">
        <f>SUM(F234:K234)</f>
        <v>77581.64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24939.29</v>
      </c>
      <c r="G244" s="18">
        <v>7307.51</v>
      </c>
      <c r="H244" s="18">
        <v>29760.39</v>
      </c>
      <c r="I244" s="18">
        <v>10582.15</v>
      </c>
      <c r="J244" s="18">
        <v>6947.49</v>
      </c>
      <c r="K244" s="18"/>
      <c r="L244" s="19">
        <f t="shared" si="4"/>
        <v>79536.83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24939.29</v>
      </c>
      <c r="G247" s="41">
        <f t="shared" si="5"/>
        <v>7307.51</v>
      </c>
      <c r="H247" s="41">
        <f t="shared" si="5"/>
        <v>1253461.0299999998</v>
      </c>
      <c r="I247" s="41">
        <f t="shared" si="5"/>
        <v>10582.15</v>
      </c>
      <c r="J247" s="41">
        <f t="shared" si="5"/>
        <v>6947.49</v>
      </c>
      <c r="K247" s="41">
        <f t="shared" si="5"/>
        <v>0</v>
      </c>
      <c r="L247" s="41">
        <f t="shared" si="5"/>
        <v>1303237.47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1531325.38</v>
      </c>
      <c r="G257" s="41">
        <f t="shared" si="8"/>
        <v>763221.86999999988</v>
      </c>
      <c r="H257" s="41">
        <f t="shared" si="8"/>
        <v>3041428.4099999997</v>
      </c>
      <c r="I257" s="41">
        <f t="shared" si="8"/>
        <v>159298.63999999998</v>
      </c>
      <c r="J257" s="41">
        <f t="shared" si="8"/>
        <v>111697.23</v>
      </c>
      <c r="K257" s="41">
        <f t="shared" si="8"/>
        <v>4118.8900000000003</v>
      </c>
      <c r="L257" s="41">
        <f t="shared" si="8"/>
        <v>5611090.4200000009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6719.2</v>
      </c>
      <c r="L263" s="19">
        <f>SUM(F263:K263)</f>
        <v>6719.2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9000</v>
      </c>
      <c r="L266" s="19">
        <f t="shared" si="9"/>
        <v>9000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15719.2</v>
      </c>
      <c r="L270" s="41">
        <f t="shared" si="9"/>
        <v>15719.2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1531325.38</v>
      </c>
      <c r="G271" s="42">
        <f t="shared" si="11"/>
        <v>763221.86999999988</v>
      </c>
      <c r="H271" s="42">
        <f t="shared" si="11"/>
        <v>3041428.4099999997</v>
      </c>
      <c r="I271" s="42">
        <f t="shared" si="11"/>
        <v>159298.63999999998</v>
      </c>
      <c r="J271" s="42">
        <f t="shared" si="11"/>
        <v>111697.23</v>
      </c>
      <c r="K271" s="42">
        <f t="shared" si="11"/>
        <v>19838.09</v>
      </c>
      <c r="L271" s="42">
        <f t="shared" si="11"/>
        <v>5626809.620000001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>
        <v>5135.05</v>
      </c>
      <c r="J276" s="18">
        <v>16385.349999999999</v>
      </c>
      <c r="K276" s="18"/>
      <c r="L276" s="19">
        <f>SUM(F276:K276)</f>
        <v>21520.399999999998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40865.86</v>
      </c>
      <c r="G277" s="18">
        <v>6946.96</v>
      </c>
      <c r="H277" s="18"/>
      <c r="I277" s="18">
        <v>494</v>
      </c>
      <c r="J277" s="18"/>
      <c r="K277" s="18"/>
      <c r="L277" s="19">
        <f>SUM(F277:K277)</f>
        <v>48306.82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1693.23</v>
      </c>
      <c r="G279" s="18">
        <v>155.27000000000001</v>
      </c>
      <c r="H279" s="18">
        <v>517.66999999999996</v>
      </c>
      <c r="I279" s="18">
        <v>200.04</v>
      </c>
      <c r="J279" s="18"/>
      <c r="K279" s="18">
        <v>286.5</v>
      </c>
      <c r="L279" s="19">
        <f>SUM(F279:K279)</f>
        <v>2852.71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3873.4</v>
      </c>
      <c r="I281" s="18"/>
      <c r="J281" s="18"/>
      <c r="K281" s="18"/>
      <c r="L281" s="19">
        <f t="shared" ref="L281:L287" si="12">SUM(F281:K281)</f>
        <v>3873.4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7680+6.64+2426.97</f>
        <v>10113.61</v>
      </c>
      <c r="I282" s="18">
        <v>410.78</v>
      </c>
      <c r="J282" s="18"/>
      <c r="K282" s="18"/>
      <c r="L282" s="19">
        <f t="shared" si="12"/>
        <v>10524.390000000001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1782.9</v>
      </c>
      <c r="L283" s="19">
        <f t="shared" si="12"/>
        <v>1782.9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89.7</v>
      </c>
      <c r="G287" s="18">
        <v>7.92</v>
      </c>
      <c r="H287" s="18">
        <v>218.28</v>
      </c>
      <c r="I287" s="18"/>
      <c r="J287" s="18"/>
      <c r="K287" s="18"/>
      <c r="L287" s="19">
        <f t="shared" si="12"/>
        <v>315.89999999999998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42648.79</v>
      </c>
      <c r="G290" s="42">
        <f t="shared" si="13"/>
        <v>7110.1500000000005</v>
      </c>
      <c r="H290" s="42">
        <f t="shared" si="13"/>
        <v>14722.960000000001</v>
      </c>
      <c r="I290" s="42">
        <f t="shared" si="13"/>
        <v>6239.87</v>
      </c>
      <c r="J290" s="42">
        <f t="shared" si="13"/>
        <v>16385.349999999999</v>
      </c>
      <c r="K290" s="42">
        <f t="shared" si="13"/>
        <v>2069.4</v>
      </c>
      <c r="L290" s="41">
        <f t="shared" si="13"/>
        <v>89176.51999999999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42648.79</v>
      </c>
      <c r="G338" s="41">
        <f t="shared" si="20"/>
        <v>7110.1500000000005</v>
      </c>
      <c r="H338" s="41">
        <f t="shared" si="20"/>
        <v>14722.960000000001</v>
      </c>
      <c r="I338" s="41">
        <f t="shared" si="20"/>
        <v>6239.87</v>
      </c>
      <c r="J338" s="41">
        <f t="shared" si="20"/>
        <v>16385.349999999999</v>
      </c>
      <c r="K338" s="41">
        <f t="shared" si="20"/>
        <v>2069.4</v>
      </c>
      <c r="L338" s="41">
        <f t="shared" si="20"/>
        <v>89176.51999999999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42648.79</v>
      </c>
      <c r="G352" s="41">
        <f>G338</f>
        <v>7110.1500000000005</v>
      </c>
      <c r="H352" s="41">
        <f>H338</f>
        <v>14722.960000000001</v>
      </c>
      <c r="I352" s="41">
        <f>I338</f>
        <v>6239.87</v>
      </c>
      <c r="J352" s="41">
        <f>J338</f>
        <v>16385.349999999999</v>
      </c>
      <c r="K352" s="47">
        <f>K338+K351</f>
        <v>2069.4</v>
      </c>
      <c r="L352" s="41">
        <f>L338+L351</f>
        <v>89176.51999999999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63994.36</v>
      </c>
      <c r="G358" s="18">
        <v>22376.53</v>
      </c>
      <c r="H358" s="18">
        <v>1702.25</v>
      </c>
      <c r="I358" s="18">
        <v>51693.7</v>
      </c>
      <c r="J358" s="18"/>
      <c r="K358" s="18"/>
      <c r="L358" s="13">
        <f>SUM(F358:K358)</f>
        <v>139766.84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63994.36</v>
      </c>
      <c r="G362" s="47">
        <f t="shared" si="22"/>
        <v>22376.53</v>
      </c>
      <c r="H362" s="47">
        <f t="shared" si="22"/>
        <v>1702.25</v>
      </c>
      <c r="I362" s="47">
        <f t="shared" si="22"/>
        <v>51693.7</v>
      </c>
      <c r="J362" s="47">
        <f t="shared" si="22"/>
        <v>0</v>
      </c>
      <c r="K362" s="47">
        <f t="shared" si="22"/>
        <v>0</v>
      </c>
      <c r="L362" s="47">
        <f t="shared" si="22"/>
        <v>139766.84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45708.51</v>
      </c>
      <c r="G367" s="18"/>
      <c r="H367" s="18"/>
      <c r="I367" s="56">
        <f>SUM(F367:H367)</f>
        <v>45708.51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5985.19</v>
      </c>
      <c r="G368" s="63"/>
      <c r="H368" s="63"/>
      <c r="I368" s="56">
        <f>SUM(F368:H368)</f>
        <v>5985.19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51693.700000000004</v>
      </c>
      <c r="G369" s="47">
        <f>SUM(G367:G368)</f>
        <v>0</v>
      </c>
      <c r="H369" s="47">
        <f>SUM(H367:H368)</f>
        <v>0</v>
      </c>
      <c r="I369" s="47">
        <f>SUM(I367:I368)</f>
        <v>51693.700000000004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9000</v>
      </c>
      <c r="H390" s="18">
        <v>27.24</v>
      </c>
      <c r="I390" s="18"/>
      <c r="J390" s="24" t="s">
        <v>289</v>
      </c>
      <c r="K390" s="24" t="s">
        <v>289</v>
      </c>
      <c r="L390" s="56">
        <f t="shared" si="25"/>
        <v>9027.24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9000</v>
      </c>
      <c r="H393" s="139">
        <f>SUM(H387:H392)</f>
        <v>27.24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9027.24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13.11</v>
      </c>
      <c r="I396" s="18"/>
      <c r="J396" s="24" t="s">
        <v>289</v>
      </c>
      <c r="K396" s="24" t="s">
        <v>289</v>
      </c>
      <c r="L396" s="56">
        <f t="shared" si="26"/>
        <v>13.11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26.24</v>
      </c>
      <c r="I397" s="18"/>
      <c r="J397" s="24" t="s">
        <v>289</v>
      </c>
      <c r="K397" s="24" t="s">
        <v>289</v>
      </c>
      <c r="L397" s="56">
        <f t="shared" si="26"/>
        <v>26.24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3.51</v>
      </c>
      <c r="I398" s="18"/>
      <c r="J398" s="24" t="s">
        <v>289</v>
      </c>
      <c r="K398" s="24" t="s">
        <v>289</v>
      </c>
      <c r="L398" s="56">
        <f t="shared" si="26"/>
        <v>3.51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42.859999999999992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42.859999999999992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9000</v>
      </c>
      <c r="H408" s="47">
        <f>H393+H401+H407</f>
        <v>70.099999999999994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9070.1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160532.1</v>
      </c>
      <c r="H440" s="18"/>
      <c r="I440" s="56">
        <f t="shared" si="33"/>
        <v>160532.1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9000</v>
      </c>
      <c r="H442" s="18"/>
      <c r="I442" s="56">
        <f t="shared" si="33"/>
        <v>9000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169532.1</v>
      </c>
      <c r="H446" s="13">
        <f>SUM(H439:H445)</f>
        <v>0</v>
      </c>
      <c r="I446" s="13">
        <f>SUM(I439:I445)</f>
        <v>169532.1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169532.1</v>
      </c>
      <c r="H459" s="18"/>
      <c r="I459" s="56">
        <f t="shared" si="34"/>
        <v>169532.1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169532.1</v>
      </c>
      <c r="H460" s="83">
        <f>SUM(H454:H459)</f>
        <v>0</v>
      </c>
      <c r="I460" s="83">
        <f>SUM(I454:I459)</f>
        <v>169532.1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169532.1</v>
      </c>
      <c r="H461" s="42">
        <f>H452+H460</f>
        <v>0</v>
      </c>
      <c r="I461" s="42">
        <f>I452+I460</f>
        <v>169532.1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178211</v>
      </c>
      <c r="G465" s="18">
        <v>0</v>
      </c>
      <c r="H465" s="18">
        <v>0</v>
      </c>
      <c r="I465" s="18"/>
      <c r="J465" s="18">
        <v>160462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5592141.9400000004</v>
      </c>
      <c r="G468" s="18">
        <f>G193</f>
        <v>139766.84000000003</v>
      </c>
      <c r="H468" s="18">
        <f>H193</f>
        <v>89176.52</v>
      </c>
      <c r="I468" s="18"/>
      <c r="J468" s="18">
        <v>9070.1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42775.82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5634917.7600000007</v>
      </c>
      <c r="G470" s="53">
        <f>SUM(G468:G469)</f>
        <v>139766.84000000003</v>
      </c>
      <c r="H470" s="53">
        <f>SUM(H468:H469)</f>
        <v>89176.52</v>
      </c>
      <c r="I470" s="53">
        <f>SUM(I468:I469)</f>
        <v>0</v>
      </c>
      <c r="J470" s="53">
        <f>SUM(J468:J469)</f>
        <v>9070.1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5626809.620000001</v>
      </c>
      <c r="G472" s="18">
        <f>L362</f>
        <v>139766.84</v>
      </c>
      <c r="H472" s="18">
        <f>L352</f>
        <v>89176.51999999999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5626809.620000001</v>
      </c>
      <c r="G474" s="53">
        <f>SUM(G472:G473)</f>
        <v>139766.84</v>
      </c>
      <c r="H474" s="53">
        <f>SUM(H472:H473)</f>
        <v>89176.51999999999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186319.13999999966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169532.1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34151.25</v>
      </c>
      <c r="G507" s="144">
        <v>9148.0400000000009</v>
      </c>
      <c r="H507" s="144">
        <v>-2676.38</v>
      </c>
      <c r="I507" s="144">
        <f>F507+G507+H507</f>
        <v>40622.910000000003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255980.48</v>
      </c>
      <c r="G521" s="18">
        <v>113207.96</v>
      </c>
      <c r="H521" s="18">
        <v>118032.1</v>
      </c>
      <c r="I521" s="18">
        <v>920.78</v>
      </c>
      <c r="J521" s="18"/>
      <c r="K521" s="18"/>
      <c r="L521" s="88">
        <f>SUM(F521:K521)</f>
        <v>488141.32000000007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85564.5</v>
      </c>
      <c r="I522" s="18"/>
      <c r="J522" s="18"/>
      <c r="K522" s="18"/>
      <c r="L522" s="88">
        <f>SUM(F522:K522)</f>
        <v>85564.5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77581.64</v>
      </c>
      <c r="I523" s="18"/>
      <c r="J523" s="18"/>
      <c r="K523" s="18"/>
      <c r="L523" s="88">
        <f>SUM(F523:K523)</f>
        <v>77581.64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255980.48</v>
      </c>
      <c r="G524" s="108">
        <f t="shared" ref="G524:L524" si="36">SUM(G521:G523)</f>
        <v>113207.96</v>
      </c>
      <c r="H524" s="108">
        <f t="shared" si="36"/>
        <v>281178.23999999999</v>
      </c>
      <c r="I524" s="108">
        <f t="shared" si="36"/>
        <v>920.78</v>
      </c>
      <c r="J524" s="108">
        <f t="shared" si="36"/>
        <v>0</v>
      </c>
      <c r="K524" s="108">
        <f t="shared" si="36"/>
        <v>0</v>
      </c>
      <c r="L524" s="89">
        <f t="shared" si="36"/>
        <v>651287.46000000008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55867</v>
      </c>
      <c r="G526" s="18">
        <v>35061.46</v>
      </c>
      <c r="H526" s="18">
        <v>41445.379999999997</v>
      </c>
      <c r="I526" s="18">
        <v>925.75</v>
      </c>
      <c r="J526" s="18"/>
      <c r="K526" s="18"/>
      <c r="L526" s="88">
        <f>SUM(F526:K526)</f>
        <v>133299.59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55867</v>
      </c>
      <c r="G529" s="89">
        <f t="shared" ref="G529:L529" si="37">SUM(G526:G528)</f>
        <v>35061.46</v>
      </c>
      <c r="H529" s="89">
        <f t="shared" si="37"/>
        <v>41445.379999999997</v>
      </c>
      <c r="I529" s="89">
        <f t="shared" si="37"/>
        <v>925.75</v>
      </c>
      <c r="J529" s="89">
        <f t="shared" si="37"/>
        <v>0</v>
      </c>
      <c r="K529" s="89">
        <f t="shared" si="37"/>
        <v>0</v>
      </c>
      <c r="L529" s="89">
        <f t="shared" si="37"/>
        <v>133299.59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29967.62</v>
      </c>
      <c r="G531" s="18">
        <v>13926.09</v>
      </c>
      <c r="H531" s="18">
        <f>63.51+2190</f>
        <v>2253.5100000000002</v>
      </c>
      <c r="I531" s="18">
        <f>65.61</f>
        <v>65.61</v>
      </c>
      <c r="J531" s="18"/>
      <c r="K531" s="18">
        <v>613.20000000000005</v>
      </c>
      <c r="L531" s="88">
        <f>SUM(F531:K531)</f>
        <v>46826.03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29967.62</v>
      </c>
      <c r="G534" s="89">
        <f t="shared" ref="G534:L534" si="38">SUM(G531:G533)</f>
        <v>13926.09</v>
      </c>
      <c r="H534" s="89">
        <f t="shared" si="38"/>
        <v>2253.5100000000002</v>
      </c>
      <c r="I534" s="89">
        <f t="shared" si="38"/>
        <v>65.61</v>
      </c>
      <c r="J534" s="89">
        <f t="shared" si="38"/>
        <v>0</v>
      </c>
      <c r="K534" s="89">
        <f t="shared" si="38"/>
        <v>613.20000000000005</v>
      </c>
      <c r="L534" s="89">
        <f t="shared" si="38"/>
        <v>46826.03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492.07</v>
      </c>
      <c r="G541" s="18">
        <v>37.630000000000003</v>
      </c>
      <c r="H541" s="18"/>
      <c r="I541" s="18"/>
      <c r="J541" s="18"/>
      <c r="K541" s="18"/>
      <c r="L541" s="88">
        <f>SUM(F541:K541)</f>
        <v>529.70000000000005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238.85</v>
      </c>
      <c r="G542" s="18">
        <v>15.34</v>
      </c>
      <c r="H542" s="18">
        <v>54035.71</v>
      </c>
      <c r="I542" s="18"/>
      <c r="J542" s="18"/>
      <c r="K542" s="18"/>
      <c r="L542" s="88">
        <f>SUM(F542:K542)</f>
        <v>54289.9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550.61</v>
      </c>
      <c r="G543" s="18">
        <v>47.88</v>
      </c>
      <c r="H543" s="18"/>
      <c r="I543" s="18"/>
      <c r="J543" s="18"/>
      <c r="K543" s="18"/>
      <c r="L543" s="88">
        <f>SUM(F543:K543)</f>
        <v>598.49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1281.53</v>
      </c>
      <c r="G544" s="193">
        <f t="shared" ref="G544:L544" si="40">SUM(G541:G543)</f>
        <v>100.85</v>
      </c>
      <c r="H544" s="193">
        <f t="shared" si="40"/>
        <v>54035.71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55418.09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343096.63</v>
      </c>
      <c r="G545" s="89">
        <f t="shared" ref="G545:L545" si="41">G524+G529+G534+G539+G544</f>
        <v>162296.36000000002</v>
      </c>
      <c r="H545" s="89">
        <f t="shared" si="41"/>
        <v>378912.84</v>
      </c>
      <c r="I545" s="89">
        <f t="shared" si="41"/>
        <v>1912.1399999999999</v>
      </c>
      <c r="J545" s="89">
        <f t="shared" si="41"/>
        <v>0</v>
      </c>
      <c r="K545" s="89">
        <f t="shared" si="41"/>
        <v>613.20000000000005</v>
      </c>
      <c r="L545" s="89">
        <f t="shared" si="41"/>
        <v>886831.17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488141.32000000007</v>
      </c>
      <c r="G549" s="87">
        <f>L526</f>
        <v>133299.59</v>
      </c>
      <c r="H549" s="87">
        <f>L531</f>
        <v>46826.03</v>
      </c>
      <c r="I549" s="87">
        <f>L536</f>
        <v>0</v>
      </c>
      <c r="J549" s="87">
        <f>L541</f>
        <v>529.70000000000005</v>
      </c>
      <c r="K549" s="87">
        <f>SUM(F549:J549)</f>
        <v>668796.64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85564.5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54289.9</v>
      </c>
      <c r="K550" s="87">
        <f>SUM(F550:J550)</f>
        <v>139854.39999999999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77581.64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598.49</v>
      </c>
      <c r="K551" s="87">
        <f>SUM(F551:J551)</f>
        <v>78180.13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651287.46000000008</v>
      </c>
      <c r="G552" s="89">
        <f t="shared" si="42"/>
        <v>133299.59</v>
      </c>
      <c r="H552" s="89">
        <f t="shared" si="42"/>
        <v>46826.03</v>
      </c>
      <c r="I552" s="89">
        <f t="shared" si="42"/>
        <v>0</v>
      </c>
      <c r="J552" s="89">
        <f t="shared" si="42"/>
        <v>55418.09</v>
      </c>
      <c r="K552" s="89">
        <f t="shared" si="42"/>
        <v>886831.17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830765</v>
      </c>
      <c r="H575" s="18">
        <v>1146119</v>
      </c>
      <c r="I575" s="87">
        <f>SUM(F575:H575)</f>
        <v>1976884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45837.94</v>
      </c>
      <c r="G579" s="18"/>
      <c r="H579" s="18">
        <v>54738</v>
      </c>
      <c r="I579" s="87">
        <f t="shared" si="47"/>
        <v>100575.94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22843.64</v>
      </c>
      <c r="I580" s="87">
        <f t="shared" si="47"/>
        <v>22843.64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85564.5</v>
      </c>
      <c r="H582" s="18"/>
      <c r="I582" s="87">
        <f t="shared" si="47"/>
        <v>85564.5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94347.66</v>
      </c>
      <c r="I591" s="18">
        <v>33528.870000000003</v>
      </c>
      <c r="J591" s="18">
        <v>78938.34</v>
      </c>
      <c r="K591" s="104">
        <f t="shared" ref="K591:K597" si="48">SUM(H591:J591)</f>
        <v>206814.87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529.70000000000005</v>
      </c>
      <c r="I592" s="18">
        <v>54289.9</v>
      </c>
      <c r="J592" s="18">
        <v>598.49</v>
      </c>
      <c r="K592" s="104">
        <f t="shared" si="48"/>
        <v>55418.09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1411.31</v>
      </c>
      <c r="I595" s="18"/>
      <c r="J595" s="18"/>
      <c r="K595" s="104">
        <f t="shared" si="48"/>
        <v>1411.31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96288.67</v>
      </c>
      <c r="I598" s="108">
        <f>SUM(I591:I597)</f>
        <v>87818.77</v>
      </c>
      <c r="J598" s="108">
        <f>SUM(J591:J597)</f>
        <v>79536.83</v>
      </c>
      <c r="K598" s="108">
        <f>SUM(K591:K597)</f>
        <v>263644.26999999996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118184.72</v>
      </c>
      <c r="I604" s="18">
        <v>2950.37</v>
      </c>
      <c r="J604" s="18">
        <v>6947.49</v>
      </c>
      <c r="K604" s="104">
        <f>SUM(H604:J604)</f>
        <v>128082.58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118184.72</v>
      </c>
      <c r="I605" s="108">
        <f>SUM(I602:I604)</f>
        <v>2950.37</v>
      </c>
      <c r="J605" s="108">
        <f>SUM(J602:J604)</f>
        <v>6947.49</v>
      </c>
      <c r="K605" s="108">
        <f>SUM(K602:K604)</f>
        <v>128082.58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2550</v>
      </c>
      <c r="G611" s="18">
        <v>194.09</v>
      </c>
      <c r="H611" s="18"/>
      <c r="I611" s="18"/>
      <c r="J611" s="18"/>
      <c r="K611" s="18"/>
      <c r="L611" s="88">
        <f>SUM(F611:K611)</f>
        <v>2744.09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2550</v>
      </c>
      <c r="G614" s="108">
        <f t="shared" si="49"/>
        <v>194.09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2744.09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285663.96000000002</v>
      </c>
      <c r="H617" s="109">
        <f>SUM(F52)</f>
        <v>285663.96000000002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16824.849999999999</v>
      </c>
      <c r="H618" s="109">
        <f>SUM(G52)</f>
        <v>16824.849999999999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91648.400000000009</v>
      </c>
      <c r="H619" s="109">
        <f>SUM(H52)</f>
        <v>91648.400000000009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169532.1</v>
      </c>
      <c r="H621" s="109">
        <f>SUM(J52)</f>
        <v>169532.1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186319.14</v>
      </c>
      <c r="H622" s="109">
        <f>F476</f>
        <v>186319.13999999966</v>
      </c>
      <c r="I622" s="121" t="s">
        <v>101</v>
      </c>
      <c r="J622" s="109">
        <f t="shared" ref="J622:J655" si="50">G622-H622</f>
        <v>3.4924596548080444E-10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169532.1</v>
      </c>
      <c r="H626" s="109">
        <f>J476</f>
        <v>169532.1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5592141.9400000004</v>
      </c>
      <c r="H627" s="104">
        <f>SUM(F468)</f>
        <v>5592141.9400000004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139766.84000000003</v>
      </c>
      <c r="H628" s="104">
        <f>SUM(G468)</f>
        <v>139766.84000000003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89176.52</v>
      </c>
      <c r="H629" s="104">
        <f>SUM(H468)</f>
        <v>89176.52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9070.1</v>
      </c>
      <c r="H631" s="104">
        <f>SUM(J468)</f>
        <v>9070.1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5626809.620000001</v>
      </c>
      <c r="H632" s="104">
        <f>SUM(F472)</f>
        <v>5626809.620000001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89176.51999999999</v>
      </c>
      <c r="H633" s="104">
        <f>SUM(H472)</f>
        <v>89176.51999999999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51693.7</v>
      </c>
      <c r="H634" s="104">
        <f>I369</f>
        <v>51693.700000000004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139766.84</v>
      </c>
      <c r="H635" s="104">
        <f>SUM(G472)</f>
        <v>139766.84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9070.1</v>
      </c>
      <c r="H637" s="164">
        <f>SUM(J468)</f>
        <v>9070.1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169532.1</v>
      </c>
      <c r="H640" s="104">
        <f>SUM(G461)</f>
        <v>169532.1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169532.1</v>
      </c>
      <c r="H642" s="104">
        <f>SUM(I461)</f>
        <v>169532.1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70.099999999999994</v>
      </c>
      <c r="H644" s="104">
        <f>H408</f>
        <v>70.099999999999994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9000</v>
      </c>
      <c r="H645" s="104">
        <f>G408</f>
        <v>9000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9070.1</v>
      </c>
      <c r="H646" s="104">
        <f>L408</f>
        <v>9070.1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263644.26999999996</v>
      </c>
      <c r="H647" s="104">
        <f>L208+L226+L244</f>
        <v>263644.27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128082.58</v>
      </c>
      <c r="H648" s="104">
        <f>(J257+J338)-(J255+J336)</f>
        <v>128082.57999999999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96288.670000000013</v>
      </c>
      <c r="H649" s="104">
        <f>H598</f>
        <v>96288.67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87818.77</v>
      </c>
      <c r="H650" s="104">
        <f>I598</f>
        <v>87818.77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79536.83</v>
      </c>
      <c r="H651" s="104">
        <f>J598</f>
        <v>79536.83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6719.2</v>
      </c>
      <c r="H652" s="104">
        <f>K263+K345</f>
        <v>6719.2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9000</v>
      </c>
      <c r="H655" s="104">
        <f>K266+K347</f>
        <v>9000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3532648.0400000005</v>
      </c>
      <c r="G660" s="19">
        <f>(L229+L309+L359)</f>
        <v>1004148.27</v>
      </c>
      <c r="H660" s="19">
        <f>(L247+L328+L360)</f>
        <v>1303237.47</v>
      </c>
      <c r="I660" s="19">
        <f>SUM(F660:H660)</f>
        <v>5840033.7800000003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76005.11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76005.11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88281.279999999999</v>
      </c>
      <c r="G662" s="19">
        <f>(L226+L306)-(J226+J306)</f>
        <v>84867.840000000011</v>
      </c>
      <c r="H662" s="19">
        <f>(L244+L325)-(J244+J325)</f>
        <v>72589.34</v>
      </c>
      <c r="I662" s="19">
        <f>SUM(F662:H662)</f>
        <v>245738.46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166766.75</v>
      </c>
      <c r="G663" s="199">
        <f>SUM(G575:G587)+SUM(I602:I604)+L612</f>
        <v>919279.87</v>
      </c>
      <c r="H663" s="199">
        <f>SUM(H575:H587)+SUM(J602:J604)+L613</f>
        <v>1230648.1299999999</v>
      </c>
      <c r="I663" s="19">
        <f>SUM(F663:H663)</f>
        <v>2316694.75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3201594.9000000004</v>
      </c>
      <c r="G664" s="19">
        <f>G660-SUM(G661:G663)</f>
        <v>0.56000000005587935</v>
      </c>
      <c r="H664" s="19">
        <f>H660-SUM(H661:H663)</f>
        <v>0</v>
      </c>
      <c r="I664" s="19">
        <f>I660-SUM(I661:I663)</f>
        <v>3201595.4600000004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140.56</v>
      </c>
      <c r="G665" s="248"/>
      <c r="H665" s="248"/>
      <c r="I665" s="19">
        <f>SUM(F665:H665)</f>
        <v>140.56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22777.43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22777.43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22777.43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22777.43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Madison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840573.72</v>
      </c>
      <c r="C9" s="229">
        <f>'DOE25'!G197+'DOE25'!G215+'DOE25'!G233+'DOE25'!G276+'DOE25'!G295+'DOE25'!G314</f>
        <v>399175.49</v>
      </c>
    </row>
    <row r="10" spans="1:3" x14ac:dyDescent="0.2">
      <c r="A10" t="s">
        <v>779</v>
      </c>
      <c r="B10" s="240">
        <v>778519.1</v>
      </c>
      <c r="C10" s="240">
        <v>354586.12</v>
      </c>
    </row>
    <row r="11" spans="1:3" x14ac:dyDescent="0.2">
      <c r="A11" t="s">
        <v>780</v>
      </c>
      <c r="B11" s="240">
        <v>62054.62</v>
      </c>
      <c r="C11" s="240">
        <v>44589.37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840573.72</v>
      </c>
      <c r="C13" s="231">
        <f>SUM(C10:C12)</f>
        <v>399175.49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255980.47999999998</v>
      </c>
      <c r="C18" s="229">
        <f>'DOE25'!G198+'DOE25'!G216+'DOE25'!G234+'DOE25'!G277+'DOE25'!G296+'DOE25'!G315</f>
        <v>113207.96</v>
      </c>
    </row>
    <row r="19" spans="1:3" x14ac:dyDescent="0.2">
      <c r="A19" t="s">
        <v>779</v>
      </c>
      <c r="B19" s="240">
        <v>146348.45000000001</v>
      </c>
      <c r="C19" s="240">
        <v>41889.11</v>
      </c>
    </row>
    <row r="20" spans="1:3" x14ac:dyDescent="0.2">
      <c r="A20" t="s">
        <v>780</v>
      </c>
      <c r="B20" s="240">
        <v>109632.03</v>
      </c>
      <c r="C20" s="240">
        <v>71318.850000000006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255980.48</v>
      </c>
      <c r="C22" s="231">
        <f>SUM(C19:C21)</f>
        <v>113207.96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30575.360000000001</v>
      </c>
      <c r="C36" s="235">
        <f>'DOE25'!G200+'DOE25'!G218+'DOE25'!G236+'DOE25'!G279+'DOE25'!G298+'DOE25'!G317</f>
        <v>2845.2</v>
      </c>
    </row>
    <row r="37" spans="1:3" x14ac:dyDescent="0.2">
      <c r="A37" t="s">
        <v>779</v>
      </c>
      <c r="B37" s="240">
        <v>4699.58</v>
      </c>
      <c r="C37" s="240">
        <v>859.24</v>
      </c>
    </row>
    <row r="38" spans="1:3" x14ac:dyDescent="0.2">
      <c r="A38" t="s">
        <v>780</v>
      </c>
      <c r="B38" s="240">
        <v>1343.65</v>
      </c>
      <c r="C38" s="240">
        <v>109.06</v>
      </c>
    </row>
    <row r="39" spans="1:3" x14ac:dyDescent="0.2">
      <c r="A39" t="s">
        <v>781</v>
      </c>
      <c r="B39" s="240">
        <v>24532.13</v>
      </c>
      <c r="C39" s="240">
        <v>1876.9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30575.360000000001</v>
      </c>
      <c r="C40" s="231">
        <f>SUM(C37:C39)</f>
        <v>2845.2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Madison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4204180.8499999996</v>
      </c>
      <c r="D5" s="20">
        <f>SUM('DOE25'!L197:L200)+SUM('DOE25'!L215:L218)+SUM('DOE25'!L233:L236)-F5-G5</f>
        <v>4126602.7399999993</v>
      </c>
      <c r="E5" s="243"/>
      <c r="F5" s="255">
        <f>SUM('DOE25'!J197:J200)+SUM('DOE25'!J215:J218)+SUM('DOE25'!J233:J236)</f>
        <v>77082.41</v>
      </c>
      <c r="G5" s="53">
        <f>SUM('DOE25'!K197:K200)+SUM('DOE25'!K215:K218)+SUM('DOE25'!K233:K236)</f>
        <v>495.7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249128.71</v>
      </c>
      <c r="D6" s="20">
        <f>'DOE25'!L202+'DOE25'!L220+'DOE25'!L238-F6-G6</f>
        <v>248705.71</v>
      </c>
      <c r="E6" s="243"/>
      <c r="F6" s="255">
        <f>'DOE25'!J202+'DOE25'!J220+'DOE25'!J238</f>
        <v>115</v>
      </c>
      <c r="G6" s="53">
        <f>'DOE25'!K202+'DOE25'!K220+'DOE25'!K238</f>
        <v>308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120746.65999999999</v>
      </c>
      <c r="D7" s="20">
        <f>'DOE25'!L203+'DOE25'!L221+'DOE25'!L239-F7-G7</f>
        <v>120746.65999999999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189260.97</v>
      </c>
      <c r="D8" s="243"/>
      <c r="E8" s="20">
        <f>'DOE25'!L204+'DOE25'!L222+'DOE25'!L240-F8-G8-D9-D11</f>
        <v>186189.78</v>
      </c>
      <c r="F8" s="255">
        <f>'DOE25'!J204+'DOE25'!J222+'DOE25'!J240</f>
        <v>0</v>
      </c>
      <c r="G8" s="53">
        <f>'DOE25'!K204+'DOE25'!K222+'DOE25'!K240</f>
        <v>3071.19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14001.2</v>
      </c>
      <c r="D9" s="244">
        <v>14001.2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26576.32</v>
      </c>
      <c r="D10" s="243"/>
      <c r="E10" s="244">
        <v>26576.32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68132.28</v>
      </c>
      <c r="D11" s="244">
        <v>68132.28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198246.47</v>
      </c>
      <c r="D12" s="20">
        <f>'DOE25'!L205+'DOE25'!L223+'DOE25'!L241-F12-G12</f>
        <v>198002.47</v>
      </c>
      <c r="E12" s="243"/>
      <c r="F12" s="255">
        <f>'DOE25'!J205+'DOE25'!J223+'DOE25'!J241</f>
        <v>0</v>
      </c>
      <c r="G12" s="53">
        <f>'DOE25'!K205+'DOE25'!K223+'DOE25'!K241</f>
        <v>244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303749.01</v>
      </c>
      <c r="D14" s="20">
        <f>'DOE25'!L207+'DOE25'!L225+'DOE25'!L243-F14-G14</f>
        <v>287470.90000000002</v>
      </c>
      <c r="E14" s="243"/>
      <c r="F14" s="255">
        <f>'DOE25'!J207+'DOE25'!J225+'DOE25'!J243</f>
        <v>16278.11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263644.27</v>
      </c>
      <c r="D15" s="20">
        <f>'DOE25'!L208+'DOE25'!L226+'DOE25'!L244-F15-G15</f>
        <v>245422.56000000003</v>
      </c>
      <c r="E15" s="243"/>
      <c r="F15" s="255">
        <f>'DOE25'!J208+'DOE25'!J226+'DOE25'!J244</f>
        <v>18221.71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94058.329999999987</v>
      </c>
      <c r="D29" s="20">
        <f>'DOE25'!L358+'DOE25'!L359+'DOE25'!L360-'DOE25'!I367-F29-G29</f>
        <v>94058.329999999987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89176.51999999999</v>
      </c>
      <c r="D31" s="20">
        <f>'DOE25'!L290+'DOE25'!L309+'DOE25'!L328+'DOE25'!L333+'DOE25'!L334+'DOE25'!L335-F31-G31</f>
        <v>70721.76999999999</v>
      </c>
      <c r="E31" s="243"/>
      <c r="F31" s="255">
        <f>'DOE25'!J290+'DOE25'!J309+'DOE25'!J328+'DOE25'!J333+'DOE25'!J334+'DOE25'!J335</f>
        <v>16385.349999999999</v>
      </c>
      <c r="G31" s="53">
        <f>'DOE25'!K290+'DOE25'!K309+'DOE25'!K328+'DOE25'!K333+'DOE25'!K334+'DOE25'!K335</f>
        <v>2069.4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5473864.6199999992</v>
      </c>
      <c r="E33" s="246">
        <f>SUM(E5:E31)</f>
        <v>212766.1</v>
      </c>
      <c r="F33" s="246">
        <f>SUM(F5:F31)</f>
        <v>128082.58000000002</v>
      </c>
      <c r="G33" s="246">
        <f>SUM(G5:G31)</f>
        <v>6188.2900000000009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212766.1</v>
      </c>
      <c r="E35" s="249"/>
    </row>
    <row r="36" spans="2:8" ht="12" thickTop="1" x14ac:dyDescent="0.2">
      <c r="B36" t="s">
        <v>815</v>
      </c>
      <c r="D36" s="20">
        <f>D33</f>
        <v>5473864.6199999992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Madison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273637.15000000002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160532.1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71233.100000000006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12026.81</v>
      </c>
      <c r="D12" s="95">
        <f>'DOE25'!G13</f>
        <v>16824.849999999999</v>
      </c>
      <c r="E12" s="95">
        <f>'DOE25'!H13</f>
        <v>20415.3</v>
      </c>
      <c r="F12" s="95">
        <f>'DOE25'!I13</f>
        <v>0</v>
      </c>
      <c r="G12" s="95">
        <f>'DOE25'!J13</f>
        <v>9000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285663.96000000002</v>
      </c>
      <c r="D18" s="41">
        <f>SUM(D8:D17)</f>
        <v>16824.849999999999</v>
      </c>
      <c r="E18" s="41">
        <f>SUM(E8:E17)</f>
        <v>91648.400000000009</v>
      </c>
      <c r="F18" s="41">
        <f>SUM(F8:F17)</f>
        <v>0</v>
      </c>
      <c r="G18" s="41">
        <f>SUM(G8:G17)</f>
        <v>169532.1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63495.67</v>
      </c>
      <c r="D21" s="95">
        <f>'DOE25'!G22</f>
        <v>16737.43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66604.070000000007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35849.15</v>
      </c>
      <c r="D23" s="95">
        <f>'DOE25'!G24</f>
        <v>87.42</v>
      </c>
      <c r="E23" s="95">
        <f>'DOE25'!H24</f>
        <v>83.6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24960.73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99344.82</v>
      </c>
      <c r="D31" s="41">
        <f>SUM(D21:D30)</f>
        <v>16824.849999999999</v>
      </c>
      <c r="E31" s="41">
        <f>SUM(E21:E30)</f>
        <v>91648.400000000009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80704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169532.1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9442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96173.14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186319.14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169532.1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285663.96000000002</v>
      </c>
      <c r="D51" s="41">
        <f>D50+D31</f>
        <v>16824.849999999999</v>
      </c>
      <c r="E51" s="41">
        <f>E50+E31</f>
        <v>91648.400000000009</v>
      </c>
      <c r="F51" s="41">
        <f>F50+F31</f>
        <v>0</v>
      </c>
      <c r="G51" s="41">
        <f>G50+G31</f>
        <v>169532.1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3900989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4480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142.19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70.099999999999994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31488.230000000003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33527.949999999997</v>
      </c>
      <c r="D61" s="95">
        <f>SUM('DOE25'!G98:G110)</f>
        <v>44516.88</v>
      </c>
      <c r="E61" s="95">
        <f>SUM('DOE25'!H98:H110)</f>
        <v>5586.06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38150.14</v>
      </c>
      <c r="D62" s="130">
        <f>SUM(D57:D61)</f>
        <v>76005.11</v>
      </c>
      <c r="E62" s="130">
        <f>SUM(E57:E61)</f>
        <v>5586.06</v>
      </c>
      <c r="F62" s="130">
        <f>SUM(F57:F61)</f>
        <v>0</v>
      </c>
      <c r="G62" s="130">
        <f>SUM(G57:G61)</f>
        <v>70.099999999999994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3939139.14</v>
      </c>
      <c r="D63" s="22">
        <f>D56+D62</f>
        <v>76005.11</v>
      </c>
      <c r="E63" s="22">
        <f>E56+E62</f>
        <v>5586.06</v>
      </c>
      <c r="F63" s="22">
        <f>F56+F62</f>
        <v>0</v>
      </c>
      <c r="G63" s="22">
        <f>G56+G62</f>
        <v>70.099999999999994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518230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1093470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1611700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7623.1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1876.5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7623.1</v>
      </c>
      <c r="D78" s="130">
        <f>SUM(D72:D77)</f>
        <v>1876.5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1619323.1</v>
      </c>
      <c r="D81" s="130">
        <f>SUM(D79:D80)+D78+D70</f>
        <v>1876.5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33679.699999999997</v>
      </c>
      <c r="D88" s="95">
        <f>SUM('DOE25'!G153:G161)</f>
        <v>55166.03</v>
      </c>
      <c r="E88" s="95">
        <f>SUM('DOE25'!H153:H161)</f>
        <v>83590.460000000006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33679.699999999997</v>
      </c>
      <c r="D91" s="131">
        <f>SUM(D85:D90)</f>
        <v>55166.03</v>
      </c>
      <c r="E91" s="131">
        <f>SUM(E85:E90)</f>
        <v>83590.460000000006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6719.2</v>
      </c>
      <c r="E96" s="95">
        <f>'DOE25'!H179</f>
        <v>0</v>
      </c>
      <c r="F96" s="95">
        <f>'DOE25'!I179</f>
        <v>0</v>
      </c>
      <c r="G96" s="95">
        <f>'DOE25'!J179</f>
        <v>9000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6719.2</v>
      </c>
      <c r="E103" s="86">
        <f>SUM(E93:E102)</f>
        <v>0</v>
      </c>
      <c r="F103" s="86">
        <f>SUM(F93:F102)</f>
        <v>0</v>
      </c>
      <c r="G103" s="86">
        <f>SUM(G93:G102)</f>
        <v>9000</v>
      </c>
    </row>
    <row r="104" spans="1:7" ht="12.75" thickTop="1" thickBot="1" x14ac:dyDescent="0.25">
      <c r="A104" s="33" t="s">
        <v>765</v>
      </c>
      <c r="C104" s="86">
        <f>C63+C81+C91+C103</f>
        <v>5592141.9400000004</v>
      </c>
      <c r="D104" s="86">
        <f>D63+D81+D91+D103</f>
        <v>139766.84000000003</v>
      </c>
      <c r="E104" s="86">
        <f>E63+E81+E91+E103</f>
        <v>89176.52</v>
      </c>
      <c r="F104" s="86">
        <f>F63+F81+F91+F103</f>
        <v>0</v>
      </c>
      <c r="G104" s="86">
        <f>G63+G81+G103</f>
        <v>9070.1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3565224.83</v>
      </c>
      <c r="D109" s="24" t="s">
        <v>289</v>
      </c>
      <c r="E109" s="95">
        <f>('DOE25'!L276)+('DOE25'!L295)+('DOE25'!L314)</f>
        <v>21520.399999999998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602980.61</v>
      </c>
      <c r="D110" s="24" t="s">
        <v>289</v>
      </c>
      <c r="E110" s="95">
        <f>('DOE25'!L277)+('DOE25'!L296)+('DOE25'!L315)</f>
        <v>48306.82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35975.409999999996</v>
      </c>
      <c r="D112" s="24" t="s">
        <v>289</v>
      </c>
      <c r="E112" s="95">
        <f>+('DOE25'!L279)+('DOE25'!L298)+('DOE25'!L317)</f>
        <v>2852.71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4204180.8499999996</v>
      </c>
      <c r="D115" s="86">
        <f>SUM(D109:D114)</f>
        <v>0</v>
      </c>
      <c r="E115" s="86">
        <f>SUM(E109:E114)</f>
        <v>72679.930000000008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249128.71</v>
      </c>
      <c r="D118" s="24" t="s">
        <v>289</v>
      </c>
      <c r="E118" s="95">
        <f>+('DOE25'!L281)+('DOE25'!L300)+('DOE25'!L319)</f>
        <v>3873.4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120746.65999999999</v>
      </c>
      <c r="D119" s="24" t="s">
        <v>289</v>
      </c>
      <c r="E119" s="95">
        <f>+('DOE25'!L282)+('DOE25'!L301)+('DOE25'!L320)</f>
        <v>10524.390000000001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271394.45</v>
      </c>
      <c r="D120" s="24" t="s">
        <v>289</v>
      </c>
      <c r="E120" s="95">
        <f>+('DOE25'!L283)+('DOE25'!L302)+('DOE25'!L321)</f>
        <v>1782.9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198246.47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303749.01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263644.27</v>
      </c>
      <c r="D124" s="24" t="s">
        <v>289</v>
      </c>
      <c r="E124" s="95">
        <f>+('DOE25'!L287)+('DOE25'!L306)+('DOE25'!L325)</f>
        <v>315.89999999999998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139766.84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1406909.57</v>
      </c>
      <c r="D128" s="86">
        <f>SUM(D118:D127)</f>
        <v>139766.84</v>
      </c>
      <c r="E128" s="86">
        <f>SUM(E118:E127)</f>
        <v>16496.59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6719.2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9027.24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42.859999999999992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-70.100000000000364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15719.199999999999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5626809.6200000001</v>
      </c>
      <c r="D145" s="86">
        <f>(D115+D128+D144)</f>
        <v>139766.84</v>
      </c>
      <c r="E145" s="86">
        <f>(E115+E128+E144)</f>
        <v>89176.52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Madison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22777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22777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3586745</v>
      </c>
      <c r="D10" s="182">
        <f>ROUND((C10/$C$28)*100,1)</f>
        <v>62.2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651287</v>
      </c>
      <c r="D11" s="182">
        <f>ROUND((C11/$C$28)*100,1)</f>
        <v>11.3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38828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253002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131271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273177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198246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303749</v>
      </c>
      <c r="D20" s="182">
        <f t="shared" si="0"/>
        <v>5.3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263960</v>
      </c>
      <c r="D21" s="182">
        <f t="shared" si="0"/>
        <v>4.5999999999999996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63761.89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5764026.8899999997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5764026.8899999997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3900989</v>
      </c>
      <c r="D35" s="182">
        <f t="shared" ref="D35:D40" si="1">ROUND((C35/$C$41)*100,1)</f>
        <v>68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43806.300000000279</v>
      </c>
      <c r="D36" s="182">
        <f t="shared" si="1"/>
        <v>0.8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1611700</v>
      </c>
      <c r="D37" s="182">
        <f t="shared" si="1"/>
        <v>28.1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9500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172436</v>
      </c>
      <c r="D39" s="182">
        <f t="shared" si="1"/>
        <v>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5738431.3000000007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sqref="A1:I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Madison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</v>
      </c>
      <c r="B4" s="219">
        <v>32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19</v>
      </c>
      <c r="B6" s="219">
        <v>3</v>
      </c>
      <c r="C6" s="285" t="s">
        <v>914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915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2014-09-12T03:35:54Z</cp:lastPrinted>
  <dcterms:created xsi:type="dcterms:W3CDTF">1997-12-04T19:04:30Z</dcterms:created>
  <dcterms:modified xsi:type="dcterms:W3CDTF">2014-10-08T12:26:33Z</dcterms:modified>
</cp:coreProperties>
</file>