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0" yWindow="120" windowWidth="28800" windowHeight="1201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J288" i="1" l="1"/>
  <c r="J326" i="1"/>
  <c r="J307" i="1"/>
  <c r="J604" i="1"/>
  <c r="I604" i="1"/>
  <c r="H604" i="1"/>
  <c r="H360" i="1"/>
  <c r="H359" i="1"/>
  <c r="H358" i="1"/>
  <c r="H400" i="1" l="1"/>
  <c r="F12" i="1"/>
  <c r="F48" i="1"/>
  <c r="F472" i="1"/>
  <c r="K266" i="1"/>
  <c r="C30" i="12" l="1"/>
  <c r="C29" i="12"/>
  <c r="C39" i="12"/>
  <c r="C37" i="12"/>
  <c r="C28" i="12" l="1"/>
  <c r="C20" i="12"/>
  <c r="C21" i="12"/>
  <c r="C19" i="12"/>
  <c r="C11" i="12"/>
  <c r="C12" i="12"/>
  <c r="C10" i="12"/>
  <c r="B39" i="12" l="1"/>
  <c r="B30" i="12"/>
  <c r="B28" i="12"/>
  <c r="B21" i="12"/>
  <c r="B19" i="12"/>
  <c r="B12" i="12"/>
  <c r="B10" i="12"/>
  <c r="B20" i="12"/>
  <c r="K344" i="1" l="1"/>
  <c r="H332" i="1"/>
  <c r="F326" i="1"/>
  <c r="H161" i="1" l="1"/>
  <c r="H102" i="1"/>
  <c r="H48" i="1"/>
  <c r="D9" i="13"/>
  <c r="F562" i="1"/>
  <c r="I564" i="1"/>
  <c r="H564" i="1"/>
  <c r="G564" i="1"/>
  <c r="F564" i="1"/>
  <c r="H563" i="1"/>
  <c r="G563" i="1"/>
  <c r="F563" i="1"/>
  <c r="H562" i="1"/>
  <c r="G562" i="1"/>
  <c r="J564" i="1"/>
  <c r="J563" i="1"/>
  <c r="I563" i="1"/>
  <c r="J562" i="1"/>
  <c r="I562" i="1"/>
  <c r="G559" i="1"/>
  <c r="F559" i="1"/>
  <c r="J558" i="1"/>
  <c r="I558" i="1"/>
  <c r="H558" i="1"/>
  <c r="G558" i="1"/>
  <c r="F558" i="1"/>
  <c r="J557" i="1"/>
  <c r="I557" i="1"/>
  <c r="H557" i="1"/>
  <c r="G557" i="1"/>
  <c r="F557" i="1"/>
  <c r="J559" i="1"/>
  <c r="I559" i="1"/>
  <c r="H559" i="1"/>
  <c r="H613" i="1"/>
  <c r="H612" i="1"/>
  <c r="H611" i="1"/>
  <c r="F582" i="1"/>
  <c r="H579" i="1"/>
  <c r="G579" i="1"/>
  <c r="F579" i="1"/>
  <c r="I360" i="1" l="1"/>
  <c r="G360" i="1"/>
  <c r="F360" i="1"/>
  <c r="I359" i="1"/>
  <c r="G359" i="1"/>
  <c r="F359" i="1"/>
  <c r="J358" i="1"/>
  <c r="I358" i="1"/>
  <c r="G358" i="1"/>
  <c r="F358" i="1"/>
  <c r="J360" i="1" l="1"/>
  <c r="J359" i="1"/>
  <c r="G158" i="1"/>
  <c r="G97" i="1"/>
  <c r="G40" i="1"/>
  <c r="G30" i="1" l="1"/>
  <c r="G24" i="1"/>
  <c r="G14" i="1"/>
  <c r="G9" i="1"/>
  <c r="F9" i="1" l="1"/>
  <c r="H233" i="1"/>
  <c r="I245" i="1"/>
  <c r="H245" i="1"/>
  <c r="J243" i="1"/>
  <c r="I243" i="1"/>
  <c r="H243" i="1"/>
  <c r="K241" i="1"/>
  <c r="H241" i="1"/>
  <c r="G241" i="1"/>
  <c r="I239" i="1"/>
  <c r="H239" i="1"/>
  <c r="G239" i="1"/>
  <c r="F239" i="1"/>
  <c r="H238" i="1"/>
  <c r="G238" i="1"/>
  <c r="F238" i="1"/>
  <c r="K236" i="1"/>
  <c r="J236" i="1"/>
  <c r="I236" i="1"/>
  <c r="H236" i="1"/>
  <c r="G236" i="1"/>
  <c r="F236" i="1"/>
  <c r="G235" i="1"/>
  <c r="K234" i="1"/>
  <c r="J234" i="1"/>
  <c r="I234" i="1"/>
  <c r="H234" i="1"/>
  <c r="G234" i="1"/>
  <c r="F234" i="1"/>
  <c r="K233" i="1"/>
  <c r="J233" i="1"/>
  <c r="I233" i="1"/>
  <c r="G233" i="1"/>
  <c r="F233" i="1"/>
  <c r="J227" i="1"/>
  <c r="I227" i="1"/>
  <c r="H227" i="1"/>
  <c r="I225" i="1"/>
  <c r="H225" i="1"/>
  <c r="K223" i="1"/>
  <c r="I223" i="1"/>
  <c r="H223" i="1"/>
  <c r="G223" i="1"/>
  <c r="I221" i="1"/>
  <c r="H221" i="1"/>
  <c r="G221" i="1"/>
  <c r="F221" i="1"/>
  <c r="H220" i="1"/>
  <c r="G220" i="1"/>
  <c r="F220" i="1"/>
  <c r="K218" i="1"/>
  <c r="J218" i="1"/>
  <c r="I218" i="1"/>
  <c r="H218" i="1"/>
  <c r="G218" i="1"/>
  <c r="F218" i="1"/>
  <c r="H217" i="1"/>
  <c r="G217" i="1"/>
  <c r="H216" i="1"/>
  <c r="I216" i="1"/>
  <c r="G216" i="1"/>
  <c r="F216" i="1"/>
  <c r="K215" i="1"/>
  <c r="I215" i="1"/>
  <c r="H215" i="1"/>
  <c r="G215" i="1"/>
  <c r="F215" i="1"/>
  <c r="J209" i="1"/>
  <c r="I209" i="1"/>
  <c r="H209" i="1"/>
  <c r="I207" i="1"/>
  <c r="H207" i="1"/>
  <c r="J205" i="1"/>
  <c r="I205" i="1"/>
  <c r="H205" i="1"/>
  <c r="G205" i="1"/>
  <c r="F205" i="1"/>
  <c r="I203" i="1"/>
  <c r="H203" i="1"/>
  <c r="G203" i="1"/>
  <c r="F203" i="1"/>
  <c r="I202" i="1"/>
  <c r="H202" i="1"/>
  <c r="G202" i="1"/>
  <c r="F202" i="1"/>
  <c r="G200" i="1"/>
  <c r="F200" i="1"/>
  <c r="I198" i="1"/>
  <c r="H198" i="1"/>
  <c r="G198" i="1"/>
  <c r="F198" i="1"/>
  <c r="I197" i="1"/>
  <c r="H197" i="1"/>
  <c r="G197" i="1"/>
  <c r="F197" i="1"/>
  <c r="F110" i="1"/>
  <c r="F68" i="1"/>
  <c r="F29" i="1" l="1"/>
  <c r="K245" i="1"/>
  <c r="J245" i="1"/>
  <c r="G245" i="1"/>
  <c r="F245" i="1"/>
  <c r="K243" i="1"/>
  <c r="K242" i="1"/>
  <c r="I242" i="1"/>
  <c r="H242" i="1"/>
  <c r="G242" i="1"/>
  <c r="F242" i="1"/>
  <c r="K240" i="1"/>
  <c r="I240" i="1"/>
  <c r="H240" i="1"/>
  <c r="G240" i="1"/>
  <c r="F240" i="1"/>
  <c r="K227" i="1"/>
  <c r="G227" i="1"/>
  <c r="F227" i="1"/>
  <c r="K225" i="1"/>
  <c r="J225" i="1"/>
  <c r="K224" i="1"/>
  <c r="I224" i="1"/>
  <c r="H224" i="1"/>
  <c r="G224" i="1"/>
  <c r="F224" i="1"/>
  <c r="K222" i="1"/>
  <c r="I222" i="1"/>
  <c r="H222" i="1"/>
  <c r="G222" i="1"/>
  <c r="F222" i="1"/>
  <c r="K216" i="1"/>
  <c r="F204" i="1"/>
  <c r="K209" i="1"/>
  <c r="G209" i="1"/>
  <c r="F209" i="1"/>
  <c r="K207" i="1"/>
  <c r="J207" i="1"/>
  <c r="K206" i="1"/>
  <c r="I206" i="1"/>
  <c r="H206" i="1"/>
  <c r="G206" i="1"/>
  <c r="F206" i="1"/>
  <c r="K204" i="1"/>
  <c r="I204" i="1"/>
  <c r="H204" i="1"/>
  <c r="G204" i="1"/>
  <c r="I200" i="1"/>
  <c r="G199" i="1"/>
  <c r="K198" i="1"/>
  <c r="K197" i="1"/>
  <c r="J523" i="1" l="1"/>
  <c r="J522" i="1"/>
  <c r="J521" i="1"/>
  <c r="I523" i="1"/>
  <c r="I522" i="1"/>
  <c r="I521" i="1"/>
  <c r="H523" i="1"/>
  <c r="H522" i="1"/>
  <c r="H521" i="1"/>
  <c r="G523" i="1"/>
  <c r="G522" i="1"/>
  <c r="G521" i="1"/>
  <c r="F523" i="1"/>
  <c r="F522" i="1"/>
  <c r="F521" i="1"/>
  <c r="K523" i="1"/>
  <c r="I526" i="1"/>
  <c r="H528" i="1"/>
  <c r="H527" i="1"/>
  <c r="H526" i="1"/>
  <c r="G528" i="1"/>
  <c r="G527" i="1"/>
  <c r="G526" i="1"/>
  <c r="F528" i="1"/>
  <c r="F527" i="1"/>
  <c r="F526" i="1"/>
  <c r="H244" i="1" l="1"/>
  <c r="G244" i="1"/>
  <c r="F244" i="1"/>
  <c r="H226" i="1"/>
  <c r="G226" i="1"/>
  <c r="F226" i="1"/>
  <c r="H208" i="1"/>
  <c r="G208" i="1"/>
  <c r="F208" i="1"/>
  <c r="J595" i="1"/>
  <c r="J592" i="1"/>
  <c r="I592" i="1"/>
  <c r="H592" i="1"/>
  <c r="J591" i="1"/>
  <c r="I591" i="1"/>
  <c r="H591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C114" i="2" s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C132" i="2" s="1"/>
  <c r="L341" i="1"/>
  <c r="L342" i="1"/>
  <c r="L255" i="1"/>
  <c r="C130" i="2" s="1"/>
  <c r="L336" i="1"/>
  <c r="E130" i="2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E56" i="2" s="1"/>
  <c r="I60" i="1"/>
  <c r="F56" i="2" s="1"/>
  <c r="F79" i="1"/>
  <c r="C57" i="2" s="1"/>
  <c r="F94" i="1"/>
  <c r="F111" i="1"/>
  <c r="G111" i="1"/>
  <c r="H79" i="1"/>
  <c r="E57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E85" i="2" s="1"/>
  <c r="H162" i="1"/>
  <c r="I147" i="1"/>
  <c r="I162" i="1"/>
  <c r="L250" i="1"/>
  <c r="L332" i="1"/>
  <c r="E113" i="2" s="1"/>
  <c r="L254" i="1"/>
  <c r="L268" i="1"/>
  <c r="L269" i="1"/>
  <c r="C143" i="2" s="1"/>
  <c r="L349" i="1"/>
  <c r="L350" i="1"/>
  <c r="I665" i="1"/>
  <c r="I670" i="1"/>
  <c r="H662" i="1"/>
  <c r="I669" i="1"/>
  <c r="C42" i="10"/>
  <c r="L374" i="1"/>
  <c r="L375" i="1"/>
  <c r="F130" i="2" s="1"/>
  <c r="L376" i="1"/>
  <c r="L377" i="1"/>
  <c r="L378" i="1"/>
  <c r="L379" i="1"/>
  <c r="L380" i="1"/>
  <c r="B2" i="10"/>
  <c r="L344" i="1"/>
  <c r="E134" i="2" s="1"/>
  <c r="L345" i="1"/>
  <c r="E135" i="2" s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D18" i="2" s="1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D50" i="2" s="1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C58" i="2"/>
  <c r="E58" i="2"/>
  <c r="C59" i="2"/>
  <c r="D59" i="2"/>
  <c r="E59" i="2"/>
  <c r="F59" i="2"/>
  <c r="D60" i="2"/>
  <c r="D62" i="2" s="1"/>
  <c r="D63" i="2" s="1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D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0" i="2"/>
  <c r="E112" i="2"/>
  <c r="C113" i="2"/>
  <c r="D115" i="2"/>
  <c r="F115" i="2"/>
  <c r="G115" i="2"/>
  <c r="E121" i="2"/>
  <c r="E123" i="2"/>
  <c r="E124" i="2"/>
  <c r="F128" i="2"/>
  <c r="G128" i="2"/>
  <c r="D134" i="2"/>
  <c r="D144" i="2" s="1"/>
  <c r="F134" i="2"/>
  <c r="K419" i="1"/>
  <c r="K427" i="1"/>
  <c r="K433" i="1"/>
  <c r="L263" i="1"/>
  <c r="C135" i="2" s="1"/>
  <c r="L264" i="1"/>
  <c r="C136" i="2" s="1"/>
  <c r="L265" i="1"/>
  <c r="C137" i="2" s="1"/>
  <c r="E137" i="2"/>
  <c r="C142" i="2"/>
  <c r="E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G620" i="1" s="1"/>
  <c r="F32" i="1"/>
  <c r="F52" i="1" s="1"/>
  <c r="H617" i="1" s="1"/>
  <c r="G32" i="1"/>
  <c r="G52" i="1" s="1"/>
  <c r="H618" i="1" s="1"/>
  <c r="H32" i="1"/>
  <c r="I32" i="1"/>
  <c r="H51" i="1"/>
  <c r="G624" i="1" s="1"/>
  <c r="I51" i="1"/>
  <c r="F177" i="1"/>
  <c r="F192" i="1" s="1"/>
  <c r="I177" i="1"/>
  <c r="F183" i="1"/>
  <c r="G183" i="1"/>
  <c r="H183" i="1"/>
  <c r="I183" i="1"/>
  <c r="J183" i="1"/>
  <c r="J192" i="1" s="1"/>
  <c r="F188" i="1"/>
  <c r="G188" i="1"/>
  <c r="H188" i="1"/>
  <c r="H192" i="1" s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H408" i="1" s="1"/>
  <c r="H644" i="1" s="1"/>
  <c r="I407" i="1"/>
  <c r="F408" i="1"/>
  <c r="G408" i="1"/>
  <c r="H645" i="1" s="1"/>
  <c r="I408" i="1"/>
  <c r="L413" i="1"/>
  <c r="L414" i="1"/>
  <c r="L415" i="1"/>
  <c r="L416" i="1"/>
  <c r="L419" i="1" s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H446" i="1"/>
  <c r="F452" i="1"/>
  <c r="F461" i="1" s="1"/>
  <c r="H639" i="1" s="1"/>
  <c r="G452" i="1"/>
  <c r="G461" i="1" s="1"/>
  <c r="H640" i="1" s="1"/>
  <c r="H452" i="1"/>
  <c r="F460" i="1"/>
  <c r="G460" i="1"/>
  <c r="H460" i="1"/>
  <c r="H461" i="1" s="1"/>
  <c r="H641" i="1" s="1"/>
  <c r="F470" i="1"/>
  <c r="G470" i="1"/>
  <c r="H470" i="1"/>
  <c r="I470" i="1"/>
  <c r="J470" i="1"/>
  <c r="J476" i="1" s="1"/>
  <c r="H626" i="1" s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L570" i="1" s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22" i="1"/>
  <c r="G623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G640" i="1"/>
  <c r="G641" i="1"/>
  <c r="G643" i="1"/>
  <c r="H643" i="1"/>
  <c r="G644" i="1"/>
  <c r="G645" i="1"/>
  <c r="G650" i="1"/>
  <c r="G651" i="1"/>
  <c r="G652" i="1"/>
  <c r="H652" i="1"/>
  <c r="G653" i="1"/>
  <c r="H653" i="1"/>
  <c r="G654" i="1"/>
  <c r="H654" i="1"/>
  <c r="H655" i="1"/>
  <c r="J655" i="1" s="1"/>
  <c r="C78" i="2"/>
  <c r="G62" i="2"/>
  <c r="D19" i="13"/>
  <c r="C19" i="13" s="1"/>
  <c r="E78" i="2"/>
  <c r="I169" i="1"/>
  <c r="J140" i="1"/>
  <c r="H140" i="1"/>
  <c r="G36" i="2"/>
  <c r="E111" i="2" l="1"/>
  <c r="E125" i="2"/>
  <c r="E120" i="2"/>
  <c r="E119" i="2"/>
  <c r="L309" i="1"/>
  <c r="E110" i="2"/>
  <c r="G338" i="1"/>
  <c r="G352" i="1" s="1"/>
  <c r="F338" i="1"/>
  <c r="F352" i="1" s="1"/>
  <c r="H338" i="1"/>
  <c r="H352" i="1" s="1"/>
  <c r="H476" i="1"/>
  <c r="H624" i="1" s="1"/>
  <c r="L328" i="1"/>
  <c r="F78" i="2"/>
  <c r="G192" i="1"/>
  <c r="I52" i="1"/>
  <c r="H620" i="1" s="1"/>
  <c r="J620" i="1" s="1"/>
  <c r="G161" i="2"/>
  <c r="I476" i="1"/>
  <c r="H625" i="1" s="1"/>
  <c r="J640" i="1"/>
  <c r="G476" i="1"/>
  <c r="H623" i="1" s="1"/>
  <c r="J623" i="1" s="1"/>
  <c r="H52" i="1"/>
  <c r="H619" i="1" s="1"/>
  <c r="J619" i="1" s="1"/>
  <c r="C11" i="10"/>
  <c r="D29" i="13"/>
  <c r="C29" i="13" s="1"/>
  <c r="D91" i="2"/>
  <c r="A31" i="12"/>
  <c r="C121" i="2"/>
  <c r="F476" i="1"/>
  <c r="H622" i="1" s="1"/>
  <c r="J622" i="1" s="1"/>
  <c r="C91" i="2"/>
  <c r="J617" i="1"/>
  <c r="C20" i="10"/>
  <c r="D5" i="13"/>
  <c r="C5" i="13" s="1"/>
  <c r="C125" i="2"/>
  <c r="E13" i="13"/>
  <c r="C13" i="13" s="1"/>
  <c r="C16" i="10"/>
  <c r="C112" i="2"/>
  <c r="C109" i="2"/>
  <c r="E8" i="13"/>
  <c r="C8" i="13" s="1"/>
  <c r="C119" i="2"/>
  <c r="F22" i="13"/>
  <c r="C22" i="13" s="1"/>
  <c r="I460" i="1"/>
  <c r="I461" i="1" s="1"/>
  <c r="H642" i="1" s="1"/>
  <c r="I452" i="1"/>
  <c r="I446" i="1"/>
  <c r="G642" i="1" s="1"/>
  <c r="J645" i="1"/>
  <c r="D81" i="2"/>
  <c r="G661" i="1"/>
  <c r="C13" i="10"/>
  <c r="K500" i="1"/>
  <c r="J624" i="1"/>
  <c r="L427" i="1"/>
  <c r="C123" i="2"/>
  <c r="L211" i="1"/>
  <c r="H112" i="1"/>
  <c r="K605" i="1"/>
  <c r="G648" i="1" s="1"/>
  <c r="L534" i="1"/>
  <c r="J643" i="1"/>
  <c r="C32" i="10"/>
  <c r="J639" i="1"/>
  <c r="F571" i="1"/>
  <c r="L565" i="1"/>
  <c r="H571" i="1"/>
  <c r="L256" i="1"/>
  <c r="K257" i="1"/>
  <c r="K271" i="1" s="1"/>
  <c r="G257" i="1"/>
  <c r="G271" i="1" s="1"/>
  <c r="J552" i="1"/>
  <c r="C26" i="10"/>
  <c r="H169" i="1"/>
  <c r="F169" i="1"/>
  <c r="F112" i="1"/>
  <c r="L401" i="1"/>
  <c r="C139" i="2" s="1"/>
  <c r="L393" i="1"/>
  <c r="C138" i="2" s="1"/>
  <c r="L362" i="1"/>
  <c r="C27" i="10" s="1"/>
  <c r="C25" i="10"/>
  <c r="E114" i="2"/>
  <c r="E122" i="2"/>
  <c r="E118" i="2"/>
  <c r="L290" i="1"/>
  <c r="H661" i="1"/>
  <c r="D17" i="13"/>
  <c r="C17" i="13" s="1"/>
  <c r="C21" i="10"/>
  <c r="D7" i="13"/>
  <c r="C7" i="13" s="1"/>
  <c r="C118" i="2"/>
  <c r="L247" i="1"/>
  <c r="C12" i="10"/>
  <c r="C122" i="2"/>
  <c r="C17" i="10"/>
  <c r="J641" i="1"/>
  <c r="I571" i="1"/>
  <c r="J571" i="1"/>
  <c r="K571" i="1"/>
  <c r="L560" i="1"/>
  <c r="J644" i="1"/>
  <c r="L433" i="1"/>
  <c r="J634" i="1"/>
  <c r="C70" i="2"/>
  <c r="C81" i="2" s="1"/>
  <c r="J257" i="1"/>
  <c r="J271" i="1" s="1"/>
  <c r="L270" i="1"/>
  <c r="G662" i="1"/>
  <c r="J545" i="1"/>
  <c r="G157" i="2"/>
  <c r="E62" i="2"/>
  <c r="E63" i="2" s="1"/>
  <c r="A13" i="12"/>
  <c r="A40" i="12"/>
  <c r="D18" i="13"/>
  <c r="C18" i="13" s="1"/>
  <c r="D14" i="13"/>
  <c r="C14" i="13" s="1"/>
  <c r="D12" i="13"/>
  <c r="C12" i="13" s="1"/>
  <c r="E16" i="13"/>
  <c r="C16" i="13" s="1"/>
  <c r="E103" i="2"/>
  <c r="G164" i="2"/>
  <c r="G156" i="2"/>
  <c r="D31" i="2"/>
  <c r="E31" i="2"/>
  <c r="F18" i="2"/>
  <c r="C18" i="2"/>
  <c r="H552" i="1"/>
  <c r="L544" i="1"/>
  <c r="K550" i="1"/>
  <c r="G552" i="1"/>
  <c r="I545" i="1"/>
  <c r="H545" i="1"/>
  <c r="L524" i="1"/>
  <c r="K545" i="1"/>
  <c r="K551" i="1"/>
  <c r="F552" i="1"/>
  <c r="G545" i="1"/>
  <c r="K549" i="1"/>
  <c r="I257" i="1"/>
  <c r="I271" i="1" s="1"/>
  <c r="L229" i="1"/>
  <c r="G660" i="1" s="1"/>
  <c r="H257" i="1"/>
  <c r="H271" i="1" s="1"/>
  <c r="F257" i="1"/>
  <c r="F271" i="1" s="1"/>
  <c r="K598" i="1"/>
  <c r="G647" i="1" s="1"/>
  <c r="J651" i="1"/>
  <c r="E109" i="2"/>
  <c r="G81" i="2"/>
  <c r="C62" i="2"/>
  <c r="F661" i="1"/>
  <c r="C19" i="10"/>
  <c r="C15" i="10"/>
  <c r="C10" i="10"/>
  <c r="G112" i="1"/>
  <c r="K503" i="1"/>
  <c r="K352" i="1"/>
  <c r="C35" i="10"/>
  <c r="C29" i="10"/>
  <c r="I552" i="1"/>
  <c r="D6" i="13"/>
  <c r="C6" i="13" s="1"/>
  <c r="D15" i="13"/>
  <c r="C15" i="13" s="1"/>
  <c r="G649" i="1"/>
  <c r="J649" i="1" s="1"/>
  <c r="J338" i="1"/>
  <c r="J352" i="1" s="1"/>
  <c r="D127" i="2"/>
  <c r="D128" i="2" s="1"/>
  <c r="D145" i="2" s="1"/>
  <c r="C124" i="2"/>
  <c r="C120" i="2"/>
  <c r="C111" i="2"/>
  <c r="C56" i="2"/>
  <c r="F662" i="1"/>
  <c r="C18" i="10"/>
  <c r="L539" i="1"/>
  <c r="L382" i="1"/>
  <c r="G636" i="1" s="1"/>
  <c r="J636" i="1" s="1"/>
  <c r="H25" i="13"/>
  <c r="E81" i="2"/>
  <c r="F81" i="2"/>
  <c r="L351" i="1"/>
  <c r="H647" i="1"/>
  <c r="G625" i="1"/>
  <c r="J625" i="1" s="1"/>
  <c r="L614" i="1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I192" i="1"/>
  <c r="E91" i="2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G169" i="1"/>
  <c r="G140" i="1"/>
  <c r="F140" i="1"/>
  <c r="G63" i="2"/>
  <c r="J618" i="1"/>
  <c r="G42" i="2"/>
  <c r="G50" i="2" s="1"/>
  <c r="J51" i="1"/>
  <c r="G16" i="2"/>
  <c r="G18" i="2" s="1"/>
  <c r="J19" i="1"/>
  <c r="G621" i="1" s="1"/>
  <c r="F545" i="1"/>
  <c r="H434" i="1"/>
  <c r="D103" i="2"/>
  <c r="I140" i="1"/>
  <c r="A22" i="12"/>
  <c r="J652" i="1"/>
  <c r="G571" i="1"/>
  <c r="I434" i="1"/>
  <c r="G434" i="1"/>
  <c r="I663" i="1"/>
  <c r="F33" i="13" l="1"/>
  <c r="L338" i="1"/>
  <c r="L352" i="1" s="1"/>
  <c r="G633" i="1" s="1"/>
  <c r="J633" i="1" s="1"/>
  <c r="C39" i="10"/>
  <c r="L571" i="1"/>
  <c r="E128" i="2"/>
  <c r="H193" i="1"/>
  <c r="G629" i="1" s="1"/>
  <c r="J629" i="1" s="1"/>
  <c r="F660" i="1"/>
  <c r="J642" i="1"/>
  <c r="D104" i="2"/>
  <c r="G635" i="1"/>
  <c r="J635" i="1" s="1"/>
  <c r="F193" i="1"/>
  <c r="G627" i="1" s="1"/>
  <c r="J627" i="1" s="1"/>
  <c r="C115" i="2"/>
  <c r="E33" i="13"/>
  <c r="D35" i="13" s="1"/>
  <c r="C28" i="10"/>
  <c r="D23" i="10" s="1"/>
  <c r="C141" i="2"/>
  <c r="C144" i="2" s="1"/>
  <c r="G664" i="1"/>
  <c r="G672" i="1" s="1"/>
  <c r="C5" i="10" s="1"/>
  <c r="I661" i="1"/>
  <c r="L257" i="1"/>
  <c r="L271" i="1" s="1"/>
  <c r="G632" i="1" s="1"/>
  <c r="J632" i="1" s="1"/>
  <c r="E115" i="2"/>
  <c r="C36" i="10"/>
  <c r="E104" i="2"/>
  <c r="I193" i="1"/>
  <c r="G630" i="1" s="1"/>
  <c r="J630" i="1" s="1"/>
  <c r="G51" i="2"/>
  <c r="I662" i="1"/>
  <c r="H660" i="1"/>
  <c r="H664" i="1" s="1"/>
  <c r="H667" i="1" s="1"/>
  <c r="F104" i="2"/>
  <c r="E51" i="2"/>
  <c r="C128" i="2"/>
  <c r="G104" i="2"/>
  <c r="D31" i="13"/>
  <c r="C31" i="13" s="1"/>
  <c r="K552" i="1"/>
  <c r="J647" i="1"/>
  <c r="H648" i="1"/>
  <c r="J648" i="1" s="1"/>
  <c r="C25" i="13"/>
  <c r="H33" i="13"/>
  <c r="C63" i="2"/>
  <c r="C104" i="2" s="1"/>
  <c r="L408" i="1"/>
  <c r="L545" i="1"/>
  <c r="F664" i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E145" i="2" l="1"/>
  <c r="D33" i="13"/>
  <c r="D36" i="13" s="1"/>
  <c r="C145" i="2"/>
  <c r="G667" i="1"/>
  <c r="D13" i="10"/>
  <c r="D21" i="10"/>
  <c r="D15" i="10"/>
  <c r="D19" i="10"/>
  <c r="D11" i="10"/>
  <c r="D22" i="10"/>
  <c r="D20" i="10"/>
  <c r="D25" i="10"/>
  <c r="D27" i="10"/>
  <c r="D18" i="10"/>
  <c r="D17" i="10"/>
  <c r="D12" i="10"/>
  <c r="D24" i="10"/>
  <c r="D10" i="10"/>
  <c r="D26" i="10"/>
  <c r="C30" i="10"/>
  <c r="D16" i="10"/>
  <c r="I660" i="1"/>
  <c r="I664" i="1" s="1"/>
  <c r="H672" i="1"/>
  <c r="C6" i="10" s="1"/>
  <c r="F672" i="1"/>
  <c r="C4" i="10" s="1"/>
  <c r="F667" i="1"/>
  <c r="G637" i="1"/>
  <c r="J637" i="1" s="1"/>
  <c r="H646" i="1"/>
  <c r="J646" i="1" s="1"/>
  <c r="C41" i="10"/>
  <c r="D38" i="10" s="1"/>
  <c r="D28" i="10" l="1"/>
  <c r="I672" i="1"/>
  <c r="C7" i="10" s="1"/>
  <c r="I667" i="1"/>
  <c r="H656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<sst xmlns="http://schemas.openxmlformats.org/spreadsheetml/2006/main" count="3954" uniqueCount="912">
  <si>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</si>
  <si>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</si>
  <si>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</si>
  <si>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</si>
  <si>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</si>
  <si>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</si>
  <si>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</si>
  <si>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</si>
  <si>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</si>
  <si>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</si>
  <si>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</si>
  <si>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</si>
  <si>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</si>
  <si>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</si>
  <si>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</si>
  <si>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</si>
  <si>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</si>
  <si>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</si>
  <si>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</si>
  <si>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</si>
  <si>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</si>
  <si>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</si>
  <si>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</si>
  <si>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</si>
  <si>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</si>
  <si>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</si>
  <si>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</si>
  <si>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</si>
  <si>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</si>
  <si>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</si>
  <si>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</si>
  <si>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</si>
  <si>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</si>
  <si>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</si>
  <si>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</si>
  <si>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</si>
  <si>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</si>
  <si>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</si>
  <si>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</si>
  <si>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</si>
  <si>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</si>
  <si>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</si>
  <si>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</si>
  <si>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</si>
  <si>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</si>
  <si>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</si>
  <si>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</si>
  <si>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</si>
  <si>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</si>
  <si>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</si>
  <si>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</si>
  <si>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</si>
  <si>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</si>
  <si>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</si>
  <si>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</si>
  <si>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</si>
  <si>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</si>
  <si>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</si>
  <si>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</si>
  <si>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</si>
  <si>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</si>
  <si>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</si>
  <si>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</si>
  <si>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</si>
  <si>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</si>
  <si>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</si>
  <si>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</si>
  <si>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</si>
  <si>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</si>
  <si>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</si>
  <si>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</si>
  <si>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</si>
  <si>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</si>
  <si>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</si>
  <si>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</si>
  <si>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</si>
  <si>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</si>
  <si>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</si>
  <si>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</si>
  <si>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</si>
  <si>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</si>
  <si>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</si>
  <si>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</si>
  <si>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</si>
  <si>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</si>
  <si>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</si>
  <si>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</si>
  <si>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</si>
  <si>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</si>
  <si>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</si>
  <si>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</si>
  <si>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</si>
  <si>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</si>
  <si>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</si>
  <si>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</si>
  <si>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</si>
  <si>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</si>
  <si>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</si>
  <si>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</si>
  <si>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</si>
  <si>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</si>
  <si>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</si>
  <si>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</si>
  <si>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</si>
  <si>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</si>
  <si>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</si>
  <si>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</si>
  <si>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</si>
  <si>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</si>
  <si>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</si>
  <si>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</si>
  <si>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</si>
  <si>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</si>
  <si>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</si>
  <si>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</si>
  <si>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</si>
  <si>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</si>
  <si>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</si>
  <si>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</si>
  <si>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</si>
  <si>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</si>
  <si>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</si>
  <si>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</si>
  <si>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</si>
  <si>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</si>
  <si>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</si>
  <si>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</si>
  <si>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</si>
  <si>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</si>
  <si>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</si>
  <si>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</si>
  <si>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</si>
  <si>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</si>
  <si>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</si>
  <si>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</si>
  <si>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</si>
  <si>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</si>
  <si>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</si>
  <si>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</si>
  <si>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</si>
  <si>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</si>
  <si>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</si>
  <si>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</si>
  <si>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</si>
  <si>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</si>
  <si>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</si>
  <si>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</si>
  <si>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</si>
  <si>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</si>
  <si>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</si>
  <si>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</si>
  <si>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</si>
  <si>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</si>
  <si>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</si>
  <si>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</si>
  <si>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</si>
  <si>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</si>
  <si>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</si>
  <si>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</si>
  <si>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</si>
  <si>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</si>
  <si>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</si>
  <si>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</si>
  <si>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</si>
  <si>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</si>
  <si>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</si>
  <si>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</si>
  <si>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</si>
  <si>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</si>
  <si>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</si>
  <si>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</si>
  <si>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</si>
  <si>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</si>
  <si>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</si>
  <si>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</si>
  <si>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</si>
  <si>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</si>
  <si>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</si>
  <si>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</si>
  <si>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</si>
  <si>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</si>
  <si>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</si>
  <si>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</si>
  <si>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</si>
  <si>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</si>
  <si>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</si>
  <si>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</si>
  <si>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</si>
  <si>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</si>
  <si>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</si>
  <si>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</si>
  <si>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</si>
  <si>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</si>
  <si>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</si>
  <si>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</si>
  <si>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</si>
  <si>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</si>
  <si>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</si>
  <si>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</si>
  <si>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</si>
  <si>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</si>
  <si>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</si>
  <si>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</si>
  <si>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</si>
  <si>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</si>
  <si>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</si>
  <si>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</si>
  <si>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</si>
  <si>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</si>
  <si>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</si>
  <si>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</si>
  <si>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</si>
  <si>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</si>
  <si>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</si>
  <si>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</si>
  <si>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</si>
  <si>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</si>
  <si>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</si>
  <si>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</si>
  <si>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</si>
  <si>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</si>
  <si>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</si>
  <si>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</si>
  <si>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</si>
  <si>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</si>
  <si>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</si>
  <si>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</si>
  <si>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</si>
  <si>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</si>
  <si>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</si>
  <si>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</si>
  <si>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</si>
  <si>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</si>
  <si>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</si>
  <si>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</si>
  <si>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</si>
  <si>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</si>
  <si>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</si>
  <si>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</si>
  <si>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</si>
  <si>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</si>
  <si>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</si>
  <si>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</si>
  <si>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</si>
  <si>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</si>
  <si>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</si>
  <si>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</si>
  <si>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</si>
  <si>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</si>
  <si>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</si>
  <si>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</si>
  <si>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</si>
  <si>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</si>
  <si>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</si>
  <si>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</si>
  <si>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</si>
  <si>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</si>
  <si>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</si>
  <si>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</si>
  <si>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</si>
  <si>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</si>
  <si>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</si>
  <si>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</si>
  <si>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</si>
  <si>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</si>
  <si>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</si>
  <si>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</si>
  <si>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</si>
  <si>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</si>
  <si>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</si>
  <si>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</si>
  <si>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</si>
  <si>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</si>
  <si>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</si>
  <si>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</si>
  <si>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</si>
  <si>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</si>
  <si>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</si>
  <si>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</si>
  <si>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</si>
  <si>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</si>
  <si>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</si>
  <si>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</si>
  <si>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</si>
  <si>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</si>
  <si>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</si>
  <si>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</si>
  <si>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</si>
  <si>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</si>
  <si>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</si>
  <si>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</si>
  <si>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</si>
  <si>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</si>
  <si>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</si>
  <si>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</si>
  <si>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</si>
  <si>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</si>
  <si>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</si>
  <si>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</si>
  <si>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</si>
  <si>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</si>
  <si>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</si>
  <si>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</si>
  <si>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</si>
  <si>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</si>
  <si>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</si>
  <si>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</si>
  <si>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</si>
  <si>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</si>
  <si>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</si>
  <si>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</si>
  <si>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</si>
  <si>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</si>
  <si>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</si>
  <si>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</si>
  <si>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</si>
  <si>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</si>
  <si>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</si>
  <si>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</si>
  <si>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</si>
  <si>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</si>
  <si>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</si>
  <si>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</si>
  <si>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</si>
  <si>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</si>
  <si>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</si>
  <si>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</si>
  <si>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</si>
  <si>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</si>
  <si>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</si>
  <si>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</si>
  <si>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</si>
  <si>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</si>
  <si>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</si>
  <si>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</si>
  <si>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</si>
  <si>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</si>
  <si>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</si>
  <si>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</si>
  <si>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</si>
  <si>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</si>
  <si>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</si>
  <si>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</si>
  <si>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</si>
  <si>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</si>
  <si>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</si>
  <si>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</si>
  <si>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</si>
  <si>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</si>
  <si>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</si>
  <si>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</si>
  <si>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</si>
  <si>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</si>
  <si>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</si>
  <si>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</si>
  <si>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</si>
  <si>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</si>
  <si>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</si>
  <si>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</si>
  <si>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</si>
  <si>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</si>
  <si>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</si>
  <si>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</si>
  <si>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</si>
  <si>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</si>
  <si>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</si>
  <si>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</si>
  <si>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</si>
  <si>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</si>
  <si>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</si>
  <si>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</si>
  <si>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</si>
  <si>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</si>
  <si>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</si>
  <si>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</si>
  <si>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</si>
  <si>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</si>
  <si>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</si>
  <si>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</si>
  <si>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</si>
  <si>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</si>
  <si>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</si>
  <si>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</si>
  <si>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</si>
  <si>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</si>
  <si>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</si>
  <si>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</si>
  <si>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</si>
  <si>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</si>
  <si>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</si>
  <si>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</si>
  <si>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</si>
  <si>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</si>
  <si>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</si>
  <si>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</si>
  <si>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</si>
  <si>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</si>
  <si>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</si>
  <si>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</si>
  <si>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</si>
  <si>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</si>
  <si>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</si>
  <si>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</si>
  <si>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</si>
  <si>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</si>
  <si>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</si>
  <si>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</si>
  <si>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</si>
  <si>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</si>
  <si>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</si>
  <si>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</si>
  <si>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</si>
  <si>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</si>
  <si>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</si>
  <si>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</si>
  <si>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</si>
  <si>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</si>
  <si>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</si>
  <si>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</si>
  <si>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</si>
  <si>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</si>
  <si>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</si>
  <si>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</si>
  <si>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</si>
  <si>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</si>
  <si>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</si>
  <si>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</si>
  <si>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</si>
  <si>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</si>
  <si>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</si>
  <si>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</si>
  <si>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</si>
  <si>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</si>
  <si>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</si>
  <si>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</si>
  <si>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</si>
  <si>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</si>
  <si>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</si>
  <si>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</si>
  <si>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</si>
  <si>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</si>
  <si>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</si>
  <si>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</si>
  <si>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</si>
  <si>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</si>
  <si>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</si>
  <si>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</si>
  <si>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</si>
  <si>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</si>
  <si>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</si>
  <si>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</si>
  <si>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</si>
  <si>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</si>
  <si>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</si>
  <si>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</si>
  <si>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</si>
  <si>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</si>
  <si>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</si>
  <si>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</si>
  <si>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</si>
  <si>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</si>
  <si>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</si>
  <si>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</si>
  <si>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</si>
  <si>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</si>
  <si>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</si>
  <si>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</si>
  <si>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</si>
  <si>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</si>
  <si>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</si>
  <si>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</si>
  <si>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</si>
  <si>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</si>
  <si>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</si>
  <si>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</si>
  <si>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</si>
  <si>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</si>
  <si>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</si>
  <si>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</si>
  <si>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</si>
  <si>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</si>
  <si>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</si>
  <si>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</si>
  <si>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</si>
  <si>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</si>
  <si>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</si>
  <si>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</si>
  <si>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</si>
  <si>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</si>
  <si>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</si>
  <si>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</si>
  <si>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</si>
  <si>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</si>
  <si>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</si>
  <si>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</si>
  <si>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</si>
  <si>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</si>
  <si>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</si>
  <si>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</si>
  <si>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</si>
  <si>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</si>
  <si>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</si>
  <si>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</si>
  <si>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</si>
  <si>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</si>
  <si>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</si>
  <si>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</si>
  <si>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</si>
  <si>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</si>
  <si>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</si>
  <si>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</si>
  <si>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</si>
  <si>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</si>
  <si>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</si>
  <si>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</si>
  <si>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</si>
  <si>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</si>
  <si>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</si>
  <si>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</si>
  <si>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</si>
  <si>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</si>
  <si>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</si>
  <si>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</si>
  <si>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</si>
  <si>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</si>
  <si>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</si>
  <si>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</si>
  <si>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</si>
  <si>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</si>
  <si>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</si>
  <si>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</si>
  <si>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</si>
  <si>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</si>
  <si>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</si>
  <si>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</si>
  <si>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</si>
  <si>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</si>
  <si>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</si>
  <si>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</si>
  <si>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</si>
  <si>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</si>
  <si>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</si>
  <si>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</si>
  <si>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</si>
  <si>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</si>
  <si>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</si>
  <si>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</si>
  <si>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</si>
  <si>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</si>
  <si>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</si>
  <si>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</si>
  <si>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</si>
  <si>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</si>
  <si>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</si>
  <si>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</si>
  <si>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</si>
  <si>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</si>
  <si>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</si>
  <si>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</si>
  <si>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</si>
  <si>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</si>
  <si>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</si>
  <si>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</si>
  <si>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</si>
  <si>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</si>
  <si>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</si>
  <si>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</si>
  <si>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</si>
  <si>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</si>
  <si>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</si>
  <si>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</si>
  <si>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</si>
  <si>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</si>
  <si>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</si>
  <si>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</si>
  <si>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</si>
  <si>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</si>
  <si>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</si>
  <si>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</si>
  <si>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</si>
  <si>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</si>
  <si>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</si>
  <si>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</si>
  <si>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</si>
  <si>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</si>
  <si>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</si>
  <si>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</si>
  <si>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</si>
  <si>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</si>
  <si>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</si>
  <si>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</si>
  <si>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</si>
  <si>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</si>
  <si>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</si>
  <si>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</si>
  <si>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</si>
  <si>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</si>
  <si>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</si>
  <si>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</si>
  <si>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</si>
  <si>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</si>
  <si>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</si>
  <si>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</si>
  <si>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</si>
  <si>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</si>
  <si>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</si>
  <si>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</si>
  <si>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</si>
  <si>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</si>
  <si>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</si>
  <si>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</si>
  <si>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</si>
  <si>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</si>
  <si>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</si>
  <si>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</si>
  <si>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</si>
  <si>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</si>
  <si>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</si>
  <si>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</si>
  <si>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</si>
  <si>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</si>
  <si>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</si>
  <si>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</si>
  <si>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</si>
  <si>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</si>
  <si>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</si>
  <si>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</si>
  <si>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</si>
  <si>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</si>
  <si>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</si>
  <si>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</si>
  <si>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</si>
  <si>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</si>
  <si>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</si>
  <si>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</si>
  <si>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</si>
  <si>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</si>
  <si>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</si>
  <si>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</si>
  <si>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</si>
  <si>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</si>
  <si>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</si>
  <si>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</si>
  <si>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</si>
  <si>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</si>
  <si>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</si>
  <si>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</si>
  <si>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</si>
  <si>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</si>
  <si>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</si>
  <si>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</si>
  <si>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</si>
  <si>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</si>
  <si>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</si>
  <si>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</si>
  <si>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</si>
  <si>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</si>
  <si>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</si>
  <si>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</si>
  <si>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</si>
  <si>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</si>
  <si>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</si>
  <si>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</si>
  <si>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</si>
  <si>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</si>
  <si>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</si>
  <si>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</si>
  <si>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</si>
  <si>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</si>
  <si>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</si>
  <si>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</si>
  <si>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</si>
  <si>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</si>
  <si>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</si>
  <si>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</si>
  <si>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</si>
  <si>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</si>
  <si>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</si>
  <si>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</si>
  <si>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</si>
  <si>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</si>
  <si>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</si>
  <si>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</si>
  <si>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</si>
  <si>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</si>
  <si>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</si>
  <si>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</si>
  <si>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</si>
  <si>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</si>
  <si>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</si>
  <si>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</si>
  <si>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</si>
  <si>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</si>
  <si>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</si>
  <si>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</si>
  <si>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</si>
  <si>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</si>
  <si>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</si>
  <si>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</si>
  <si>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</si>
  <si>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</si>
  <si>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</si>
  <si>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</si>
  <si>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</si>
  <si>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</si>
  <si>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</si>
  <si>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</si>
  <si>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</si>
  <si>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</si>
  <si>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</si>
  <si>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</si>
  <si>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</si>
  <si>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</si>
  <si>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</si>
  <si>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</si>
  <si>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</si>
  <si>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</si>
  <si>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</si>
  <si>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</si>
  <si>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</si>
  <si>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</si>
  <si>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</si>
  <si>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</si>
  <si>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</si>
  <si>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</si>
  <si>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</si>
  <si>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</si>
  <si>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</si>
  <si>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</si>
  <si>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</si>
  <si>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</si>
  <si>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</si>
  <si>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</si>
  <si>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</si>
  <si>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</si>
  <si>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</si>
  <si>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</si>
  <si>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</si>
  <si>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</si>
  <si>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</si>
  <si>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</si>
  <si>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</si>
  <si>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</si>
  <si>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</si>
  <si>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</si>
  <si>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</si>
  <si>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</si>
  <si>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</si>
  <si>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</si>
  <si>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</si>
  <si>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</si>
  <si>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</si>
  <si>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</si>
  <si>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</si>
  <si>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</si>
  <si>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</si>
  <si>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</si>
  <si>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</si>
  <si>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</si>
  <si>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</si>
  <si>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</si>
  <si>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</si>
  <si>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</si>
  <si>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</si>
  <si>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</si>
  <si>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</si>
  <si>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</si>
  <si>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</si>
  <si>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</si>
  <si>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</si>
  <si>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</si>
  <si>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</si>
  <si>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</si>
  <si>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</si>
  <si>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</si>
  <si>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</si>
  <si>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</si>
  <si>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</si>
  <si>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</si>
  <si>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</si>
  <si>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</si>
  <si>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</si>
  <si>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</si>
  <si>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</si>
  <si>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</si>
  <si>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</si>
  <si>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</si>
  <si>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</si>
  <si>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</si>
  <si>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</si>
  <si>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</si>
  <si>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</si>
  <si>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</si>
  <si>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</si>
  <si>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</si>
  <si>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</si>
  <si>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</si>
  <si>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</si>
  <si>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</si>
  <si>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</si>
  <si>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</si>
  <si>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</si>
  <si>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</si>
  <si>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</si>
  <si>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</si>
  <si>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</si>
  <si>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</si>
  <si>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</si>
  <si>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</si>
  <si>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</si>
  <si>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</si>
  <si>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</si>
  <si>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</si>
  <si>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</si>
  <si>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</si>
  <si>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</si>
  <si>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</si>
  <si>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</si>
  <si>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</si>
  <si>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</si>
  <si>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</si>
  <si>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</si>
  <si>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</si>
  <si>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</si>
  <si>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</si>
  <si>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</si>
  <si>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</si>
  <si>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</si>
  <si>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</si>
  <si>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</si>
  <si>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</si>
  <si>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</si>
  <si>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</si>
  <si>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</si>
  <si>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</si>
  <si>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</si>
  <si>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</si>
  <si>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</si>
  <si>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</si>
  <si>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</si>
  <si>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</si>
  <si>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</si>
  <si>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</si>
  <si>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</si>
  <si>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</si>
  <si>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</si>
  <si>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</si>
  <si>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</si>
  <si>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</si>
  <si>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</si>
  <si>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</si>
  <si>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</si>
  <si>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</si>
  <si>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</si>
  <si>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</si>
  <si>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</si>
  <si>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</si>
  <si>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</si>
  <si>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</si>
  <si>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</si>
  <si>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</si>
  <si>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</si>
  <si>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</si>
  <si>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</si>
  <si>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</si>
  <si>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</si>
  <si>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</si>
  <si>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</si>
  <si>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</si>
  <si>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</si>
  <si>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</si>
  <si>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</si>
  <si>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</si>
  <si>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</si>
  <si>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</si>
  <si>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</si>
  <si>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</si>
  <si>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</si>
  <si>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</si>
  <si>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</si>
  <si>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</si>
  <si>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</si>
  <si>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</si>
  <si>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</si>
  <si>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</si>
  <si>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</si>
  <si>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</si>
  <si>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</si>
  <si>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</si>
  <si>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</si>
  <si>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</si>
  <si>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</si>
  <si>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</si>
  <si>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</si>
  <si>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</si>
  <si>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</si>
  <si>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</si>
  <si>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</si>
  <si>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</si>
  <si>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</si>
  <si>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</si>
  <si>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</si>
  <si>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</si>
  <si>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</si>
  <si>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</si>
  <si>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</si>
  <si>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</si>
  <si>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</si>
  <si>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</si>
  <si>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</si>
  <si>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</si>
  <si>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Manchester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</si>
</sst>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40" activePane="bottomRight" state="frozen"/>
      <selection pane="topRight" activeCell="F1" sqref="F1"/>
      <selection pane="bottomLeft" activeCell="A4" sqref="A4"/>
      <selection pane="bottomRight" activeCell="H665" sqref="H66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335</v>
      </c>
      <c r="C2" s="21">
        <v>335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200+4665663.02+10157.79+3016917.51-0.2</f>
        <v>7692938.1199999992</v>
      </c>
      <c r="G9" s="18">
        <f>114954.74+50</f>
        <v>115004.74</v>
      </c>
      <c r="H9" s="18">
        <v>1400</v>
      </c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1130609.02-28183</f>
        <v>1102426.02</v>
      </c>
      <c r="G12" s="18"/>
      <c r="H12" s="18">
        <v>13821.84</v>
      </c>
      <c r="I12" s="18"/>
      <c r="J12" s="67">
        <f>SUM(I441)</f>
        <v>579896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26320339.370000001</v>
      </c>
      <c r="G13" s="18">
        <v>568317.73</v>
      </c>
      <c r="H13" s="18"/>
      <c r="I13" s="18"/>
      <c r="J13" s="67">
        <f>SUM(I442)</f>
        <v>1260786.6599999999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732983.41</v>
      </c>
      <c r="G14" s="18">
        <f>8439.18+11678.07+2661.11+393</f>
        <v>23171.360000000001</v>
      </c>
      <c r="H14" s="18">
        <v>2901249.15</v>
      </c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31242.43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22255.46</v>
      </c>
      <c r="G17" s="18"/>
      <c r="H17" s="18">
        <v>1000.68</v>
      </c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35870942.379999995</v>
      </c>
      <c r="G19" s="41">
        <f>SUM(G9:G18)</f>
        <v>737736.26</v>
      </c>
      <c r="H19" s="41">
        <f>SUM(H9:H18)</f>
        <v>2917471.67</v>
      </c>
      <c r="I19" s="41">
        <f>SUM(I9:I18)</f>
        <v>0</v>
      </c>
      <c r="J19" s="41">
        <f>SUM(J9:J18)</f>
        <v>1840682.66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530947.66</v>
      </c>
      <c r="H22" s="18">
        <v>1151374.3600000001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658029.24</v>
      </c>
      <c r="G24" s="18">
        <f>21511.88</f>
        <v>21511.88</v>
      </c>
      <c r="H24" s="18">
        <v>273822.37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2868790.73</v>
      </c>
      <c r="G28" s="18">
        <v>16946.060000000001</v>
      </c>
      <c r="H28" s="18">
        <v>462994.17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315132.14+51581.8+30251.83+1243857.47+2325.43+7456.74+1533.7+3872.54</f>
        <v>1656011.65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28620480.050000001</v>
      </c>
      <c r="G30" s="18">
        <f>24807.27+9526.55+13018.42</f>
        <v>47352.24</v>
      </c>
      <c r="H30" s="18">
        <v>540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33803311.670000002</v>
      </c>
      <c r="G32" s="41">
        <f>SUM(G22:G31)</f>
        <v>616757.84000000008</v>
      </c>
      <c r="H32" s="41">
        <f>SUM(H22:H31)</f>
        <v>1888730.9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31242.43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22255.46</v>
      </c>
      <c r="G36" s="18"/>
      <c r="H36" s="18">
        <v>1000.68</v>
      </c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f>114954.74-25218.75</f>
        <v>89735.99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f>493557.11+299537.05+0.43</f>
        <v>793094.59</v>
      </c>
      <c r="G48" s="18"/>
      <c r="H48" s="18">
        <f>1028740.77-1000.68</f>
        <v>1027740.09</v>
      </c>
      <c r="I48" s="18"/>
      <c r="J48" s="13">
        <f>SUM(I459)</f>
        <v>1840682.66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262550.65999999997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989730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2067630.71</v>
      </c>
      <c r="G51" s="41">
        <f>SUM(G35:G50)</f>
        <v>120978.42000000001</v>
      </c>
      <c r="H51" s="41">
        <f>SUM(H35:H50)</f>
        <v>1028740.77</v>
      </c>
      <c r="I51" s="41">
        <f>SUM(I35:I50)</f>
        <v>0</v>
      </c>
      <c r="J51" s="41">
        <f>SUM(J35:J50)</f>
        <v>1840682.66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35870942.380000003</v>
      </c>
      <c r="G52" s="41">
        <f>G51+G32</f>
        <v>737736.26000000013</v>
      </c>
      <c r="H52" s="41">
        <f>H51+H32</f>
        <v>2917471.67</v>
      </c>
      <c r="I52" s="41">
        <f>I51+I32</f>
        <v>0</v>
      </c>
      <c r="J52" s="41">
        <f>J51+J32</f>
        <v>1840682.66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64808687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>
        <v>1612783.87</v>
      </c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64808687</v>
      </c>
      <c r="G60" s="41">
        <f>SUM(G57:G59)</f>
        <v>0</v>
      </c>
      <c r="H60" s="41">
        <f>SUM(H57:H59)</f>
        <v>1612783.87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26200.91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>
        <v>24408</v>
      </c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>
        <v>226483</v>
      </c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>
        <v>42802.61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f>4858064.11+1390793.1</f>
        <v>6248857.2100000009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1883657.79</v>
      </c>
      <c r="G69" s="24" t="s">
        <v>289</v>
      </c>
      <c r="H69" s="18">
        <v>3565101.87</v>
      </c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>
        <v>112780.07</v>
      </c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8271495.9800000014</v>
      </c>
      <c r="G79" s="45" t="s">
        <v>289</v>
      </c>
      <c r="H79" s="41">
        <f>SUM(H63:H78)</f>
        <v>3858795.48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137541.64000000001</v>
      </c>
      <c r="G96" s="18"/>
      <c r="H96" s="18"/>
      <c r="I96" s="18"/>
      <c r="J96" s="18">
        <v>7007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-24982.5+331.2+735255.46+42980.5+403164.45+31.71+18119.54+91+462.48</f>
        <v>1175453.8399999999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v>42673</v>
      </c>
      <c r="G98" s="24" t="s">
        <v>289</v>
      </c>
      <c r="H98" s="18">
        <v>68761.3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12027.61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f>194716+206705.69</f>
        <v>401421.69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4964+1555000+14634.42</f>
        <v>1574598.42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1766840.67</v>
      </c>
      <c r="G111" s="41">
        <f>SUM(G96:G110)</f>
        <v>1175453.8399999999</v>
      </c>
      <c r="H111" s="41">
        <f>SUM(H96:H110)</f>
        <v>470182.99</v>
      </c>
      <c r="I111" s="41">
        <f>SUM(I96:I110)</f>
        <v>0</v>
      </c>
      <c r="J111" s="41">
        <f>SUM(J96:J110)</f>
        <v>7007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74847023.650000006</v>
      </c>
      <c r="G112" s="41">
        <f>G60+G111</f>
        <v>1175453.8399999999</v>
      </c>
      <c r="H112" s="41">
        <f>H60+H79+H94+H111</f>
        <v>5941762.3399999999</v>
      </c>
      <c r="I112" s="41">
        <f>I60+I111</f>
        <v>0</v>
      </c>
      <c r="J112" s="41">
        <f>J60+J111</f>
        <v>7007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56434129.960000001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20140127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76574256.960000008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2449986.7799999998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393429.1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734177.48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84524.95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3577593.36</v>
      </c>
      <c r="G136" s="41">
        <f>SUM(G123:G135)</f>
        <v>84524.95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80151850.320000008</v>
      </c>
      <c r="G140" s="41">
        <f>G121+SUM(G136:G137)</f>
        <v>84524.95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>
        <v>380151.92</v>
      </c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380151.92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6995746.9000000004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2764040.23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>
        <v>581238.87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>
        <v>500603.67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f>3496913.67+114589.42</f>
        <v>3611503.09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3781512.45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1559217.54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>
        <v>79874.559999999998</v>
      </c>
      <c r="G161" s="18"/>
      <c r="H161" s="18">
        <f>301212.41+636191.16</f>
        <v>937403.57000000007</v>
      </c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1639092.1</v>
      </c>
      <c r="G162" s="41">
        <f>SUM(G150:G161)</f>
        <v>3611503.09</v>
      </c>
      <c r="H162" s="41">
        <f>SUM(H150:H161)</f>
        <v>15560545.690000001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1639092.1</v>
      </c>
      <c r="G169" s="41">
        <f>G147+G162+SUM(G163:G168)</f>
        <v>3991655.01</v>
      </c>
      <c r="H169" s="41">
        <f>H147+H162+SUM(H163:H168)</f>
        <v>15560545.690000001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v>579896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>
        <v>138081.03</v>
      </c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138081.03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579896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138081.03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579896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156776047.10000002</v>
      </c>
      <c r="G193" s="47">
        <f>G112+G140+G169+G192</f>
        <v>5251633.8</v>
      </c>
      <c r="H193" s="47">
        <f>H112+H140+H169+H192</f>
        <v>21502308.030000001</v>
      </c>
      <c r="I193" s="47">
        <f>I112+I140+I169+I192</f>
        <v>0</v>
      </c>
      <c r="J193" s="47">
        <f>J112+J140+J192</f>
        <v>586903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3339.11-0.01+19355321.4</f>
        <v>19358660.5</v>
      </c>
      <c r="G197" s="18">
        <f>-1501042.45+10337083.88</f>
        <v>8836041.4300000016</v>
      </c>
      <c r="H197" s="18">
        <f>112.96+4640.45+191.5+18683.3+2635.3+6910.53+5481.8+536.64</f>
        <v>39192.480000000003</v>
      </c>
      <c r="I197" s="18">
        <f>850.31+163550.31+107377.12</f>
        <v>271777.74</v>
      </c>
      <c r="J197" s="18">
        <v>6132.42</v>
      </c>
      <c r="K197" s="18">
        <f>175</f>
        <v>175</v>
      </c>
      <c r="L197" s="19">
        <f>SUM(F197:K197)</f>
        <v>28511979.57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179444.42+8189623.59</f>
        <v>8369068.0099999998</v>
      </c>
      <c r="G198" s="18">
        <f>-517014.15+5622537.86</f>
        <v>5105523.71</v>
      </c>
      <c r="H198" s="18">
        <f>99419.15+129843.1+595+993.56+179+1179794.3+3965.28</f>
        <v>1414789.3900000001</v>
      </c>
      <c r="I198" s="18">
        <f>11707.36+133295.85+32220.83</f>
        <v>177224.04000000004</v>
      </c>
      <c r="J198" s="18">
        <v>5534.78</v>
      </c>
      <c r="K198" s="18">
        <f>985.84</f>
        <v>985.84</v>
      </c>
      <c r="L198" s="19">
        <f>SUM(F198:K198)</f>
        <v>15073125.769999998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>
        <f>9.91</f>
        <v>9.91</v>
      </c>
      <c r="H199" s="18"/>
      <c r="I199" s="18"/>
      <c r="J199" s="18"/>
      <c r="K199" s="18"/>
      <c r="L199" s="19">
        <f>SUM(F199:K199)</f>
        <v>9.91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f>26071.47</f>
        <v>26071.47</v>
      </c>
      <c r="G200" s="18">
        <f>4126.24</f>
        <v>4126.24</v>
      </c>
      <c r="H200" s="18"/>
      <c r="I200" s="18">
        <f>688.21</f>
        <v>688.21</v>
      </c>
      <c r="J200" s="18"/>
      <c r="K200" s="18">
        <v>100000</v>
      </c>
      <c r="L200" s="19">
        <f>SUM(F200:K200)</f>
        <v>130885.92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46474.9+2412431.4</f>
        <v>2458906.2999999998</v>
      </c>
      <c r="G202" s="18">
        <f>28316.25+1217646.59</f>
        <v>1245962.8400000001</v>
      </c>
      <c r="H202" s="18">
        <f>877359.88+462146.76+2924.82+1159.06</f>
        <v>1343590.5200000003</v>
      </c>
      <c r="I202" s="18">
        <f>2553.77</f>
        <v>2553.77</v>
      </c>
      <c r="J202" s="18"/>
      <c r="K202" s="18"/>
      <c r="L202" s="19">
        <f t="shared" ref="L202:L208" si="0">SUM(F202:K202)</f>
        <v>5051013.43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4936.3+797814.67</f>
        <v>802750.97000000009</v>
      </c>
      <c r="G203" s="18">
        <f>3927.36+400418+189+35925.66+38860.92</f>
        <v>479320.94</v>
      </c>
      <c r="H203" s="18">
        <f>130.23+226.22</f>
        <v>356.45</v>
      </c>
      <c r="I203" s="18">
        <f>1137.5+1181.42+620.43+173.25</f>
        <v>3112.6</v>
      </c>
      <c r="J203" s="18"/>
      <c r="K203" s="18"/>
      <c r="L203" s="19">
        <f t="shared" si="0"/>
        <v>1285540.9600000002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f>344835.53</f>
        <v>344835.53</v>
      </c>
      <c r="G204" s="18">
        <f>153943.8</f>
        <v>153943.79999999999</v>
      </c>
      <c r="H204" s="18">
        <f>41264.02</f>
        <v>41264.019999999997</v>
      </c>
      <c r="I204" s="18">
        <f>2607.57</f>
        <v>2607.5700000000002</v>
      </c>
      <c r="J204" s="18"/>
      <c r="K204" s="18">
        <f>3036.43</f>
        <v>3036.43</v>
      </c>
      <c r="L204" s="19">
        <f t="shared" si="0"/>
        <v>545687.35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f>2870894.97</f>
        <v>2870894.97</v>
      </c>
      <c r="G205" s="18">
        <f>1290.84+1258307.5</f>
        <v>1259598.3400000001</v>
      </c>
      <c r="H205" s="18">
        <f>9125.38+19121.72+105+222.84</f>
        <v>28574.94</v>
      </c>
      <c r="I205" s="18">
        <f>551.82</f>
        <v>551.82000000000005</v>
      </c>
      <c r="J205" s="18">
        <f>24953</f>
        <v>24953</v>
      </c>
      <c r="K205" s="18">
        <v>10510</v>
      </c>
      <c r="L205" s="19">
        <f t="shared" si="0"/>
        <v>4195083.07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f>231646.11</f>
        <v>231646.11</v>
      </c>
      <c r="G206" s="18">
        <f>124958.33</f>
        <v>124958.33</v>
      </c>
      <c r="H206" s="18">
        <f>74251.1</f>
        <v>74251.100000000006</v>
      </c>
      <c r="I206" s="18">
        <f>3573.76</f>
        <v>3573.76</v>
      </c>
      <c r="J206" s="18"/>
      <c r="K206" s="18">
        <f>52.5</f>
        <v>52.5</v>
      </c>
      <c r="L206" s="19">
        <f t="shared" si="0"/>
        <v>434481.80000000005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/>
      <c r="G207" s="18"/>
      <c r="H207" s="18">
        <f>1439222.43+48350.25+39669.94+12018.66+39325.15</f>
        <v>1578586.4299999997</v>
      </c>
      <c r="I207" s="18">
        <f>-7678.7+733+333947.14+428425.92+151.86</f>
        <v>755579.22</v>
      </c>
      <c r="J207" s="18">
        <f>1266.3</f>
        <v>1266.3</v>
      </c>
      <c r="K207" s="18">
        <f>77</f>
        <v>77</v>
      </c>
      <c r="L207" s="19">
        <f t="shared" si="0"/>
        <v>2335508.9499999993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f>9444.8+12417.14</f>
        <v>21861.94</v>
      </c>
      <c r="G208" s="18">
        <f>3727.86+4901.04</f>
        <v>8628.9</v>
      </c>
      <c r="H208" s="18">
        <f>1034441.96+1359987.87+386.47</f>
        <v>2394816.3000000003</v>
      </c>
      <c r="I208" s="18">
        <v>22.75</v>
      </c>
      <c r="J208" s="18"/>
      <c r="K208" s="18"/>
      <c r="L208" s="19">
        <f t="shared" si="0"/>
        <v>2425329.89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f>243941.78</f>
        <v>243941.78</v>
      </c>
      <c r="G209" s="18">
        <f>120644.88</f>
        <v>120644.88</v>
      </c>
      <c r="H209" s="18">
        <f>164187.43+9676.19+7131.3</f>
        <v>180994.91999999998</v>
      </c>
      <c r="I209" s="18">
        <f>15053.55-877.68</f>
        <v>14175.869999999999</v>
      </c>
      <c r="J209" s="18">
        <f>14100.65+1089</f>
        <v>15189.65</v>
      </c>
      <c r="K209" s="18">
        <f>18.03</f>
        <v>18.03</v>
      </c>
      <c r="L209" s="19">
        <f>SUM(F209:K209)</f>
        <v>574965.13000000012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34728637.579999998</v>
      </c>
      <c r="G211" s="41">
        <f t="shared" si="1"/>
        <v>17338759.319999997</v>
      </c>
      <c r="H211" s="41">
        <f t="shared" si="1"/>
        <v>7096416.5500000007</v>
      </c>
      <c r="I211" s="41">
        <f t="shared" si="1"/>
        <v>1231867.3500000001</v>
      </c>
      <c r="J211" s="41">
        <f t="shared" si="1"/>
        <v>53076.15</v>
      </c>
      <c r="K211" s="41">
        <f t="shared" si="1"/>
        <v>114854.79999999999</v>
      </c>
      <c r="L211" s="41">
        <f t="shared" si="1"/>
        <v>60563611.749999993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f>2003.46-0.02+9633363.68</f>
        <v>9635367.1199999992</v>
      </c>
      <c r="G215" s="18">
        <f>-1027029.04+5460287.52</f>
        <v>4433258.4799999995</v>
      </c>
      <c r="H215" s="18">
        <f>67.78+230+1032+8033.82+20164.17+3492.23+6890.6+48.89</f>
        <v>39959.49</v>
      </c>
      <c r="I215" s="18">
        <f>510.18+64602.54+1523.51</f>
        <v>66636.23</v>
      </c>
      <c r="J215" s="18"/>
      <c r="K215" s="18">
        <f>105+200</f>
        <v>305</v>
      </c>
      <c r="L215" s="19">
        <f>SUM(F215:K215)</f>
        <v>14175526.319999998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f>107666.65+4149157.25</f>
        <v>4256823.9000000004</v>
      </c>
      <c r="G216" s="18">
        <f>-310208.49+2674965.23</f>
        <v>2364756.7400000002</v>
      </c>
      <c r="H216" s="18">
        <f>59651.49+62651.06+1401528.48+670.21</f>
        <v>1524501.24</v>
      </c>
      <c r="I216" s="18">
        <f>7024.42+14718.89+149</f>
        <v>21892.309999999998</v>
      </c>
      <c r="J216" s="18">
        <v>253.95</v>
      </c>
      <c r="K216" s="18">
        <f>591.5</f>
        <v>591.5</v>
      </c>
      <c r="L216" s="19">
        <f>SUM(F216:K216)</f>
        <v>8168819.6400000006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>
        <v>458106.4</v>
      </c>
      <c r="G217" s="18">
        <f>5.95+253605.58</f>
        <v>253611.53</v>
      </c>
      <c r="H217" s="18">
        <f>230</f>
        <v>230</v>
      </c>
      <c r="I217" s="18">
        <v>4739.5</v>
      </c>
      <c r="J217" s="18"/>
      <c r="K217" s="18"/>
      <c r="L217" s="19">
        <f>SUM(F217:K217)</f>
        <v>716687.43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f>6869.06+180260.1</f>
        <v>187129.16</v>
      </c>
      <c r="G218" s="18">
        <f>2077.57+37768.66</f>
        <v>39846.230000000003</v>
      </c>
      <c r="H218" s="18">
        <f>22616.42+15608.16</f>
        <v>38224.58</v>
      </c>
      <c r="I218" s="18">
        <f>412.92+4115.11</f>
        <v>4528.03</v>
      </c>
      <c r="J218" s="18">
        <f>6.6+349</f>
        <v>355.6</v>
      </c>
      <c r="K218" s="18">
        <f>19.8+315</f>
        <v>334.8</v>
      </c>
      <c r="L218" s="19">
        <f>SUM(F218:K218)</f>
        <v>270418.40000000002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f>27884.94+1001817.64</f>
        <v>1029702.58</v>
      </c>
      <c r="G220" s="18">
        <f>16989.75+458854.24</f>
        <v>475843.99</v>
      </c>
      <c r="H220" s="18">
        <f>526415.93+190582.91+969+434.22</f>
        <v>718402.06</v>
      </c>
      <c r="I220" s="18"/>
      <c r="J220" s="18"/>
      <c r="K220" s="18"/>
      <c r="L220" s="19">
        <f t="shared" ref="L220:L226" si="2">SUM(F220:K220)</f>
        <v>2223948.63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f>2961.78+263305.12</f>
        <v>266266.90000000002</v>
      </c>
      <c r="G221" s="18">
        <f>2356.42+121638.25+13375+12614.65</f>
        <v>149984.31999999998</v>
      </c>
      <c r="H221" s="18">
        <f>78.14+149</f>
        <v>227.14</v>
      </c>
      <c r="I221" s="18">
        <f>682.5+398.21+172.04</f>
        <v>1252.75</v>
      </c>
      <c r="J221" s="18"/>
      <c r="K221" s="18"/>
      <c r="L221" s="19">
        <f t="shared" si="2"/>
        <v>417731.11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f>206901.32</f>
        <v>206901.32</v>
      </c>
      <c r="G222" s="18">
        <f>92366.28</f>
        <v>92366.28</v>
      </c>
      <c r="H222" s="18">
        <f>24758.41</f>
        <v>24758.41</v>
      </c>
      <c r="I222" s="18">
        <f>1564.54</f>
        <v>1564.54</v>
      </c>
      <c r="J222" s="18"/>
      <c r="K222" s="18">
        <f>1821.86</f>
        <v>1821.86</v>
      </c>
      <c r="L222" s="19">
        <f t="shared" si="2"/>
        <v>327412.40999999992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1365062.58</v>
      </c>
      <c r="G223" s="18">
        <f>774.5+643485.1</f>
        <v>644259.6</v>
      </c>
      <c r="H223" s="18">
        <f>5475.23+4245.61+245</f>
        <v>9965.84</v>
      </c>
      <c r="I223" s="18">
        <f>125.2</f>
        <v>125.2</v>
      </c>
      <c r="J223" s="18">
        <v>11676</v>
      </c>
      <c r="K223" s="18">
        <f>4579+265</f>
        <v>4844</v>
      </c>
      <c r="L223" s="19">
        <f t="shared" si="2"/>
        <v>2035933.2200000002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f>138987.67</f>
        <v>138987.67000000001</v>
      </c>
      <c r="G224" s="18">
        <f>74975</f>
        <v>74975</v>
      </c>
      <c r="H224" s="18">
        <f>44550.66</f>
        <v>44550.66</v>
      </c>
      <c r="I224" s="18">
        <f>2144.26</f>
        <v>2144.2600000000002</v>
      </c>
      <c r="J224" s="18"/>
      <c r="K224" s="18">
        <f>31.5</f>
        <v>31.5</v>
      </c>
      <c r="L224" s="19">
        <f t="shared" si="2"/>
        <v>260689.09000000003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>
        <f>1404574.34+16316.23+13615.26+5251.03+15354.7</f>
        <v>1455111.56</v>
      </c>
      <c r="I225" s="18">
        <f>-4607.22+406.95+185888.64+293241.25</f>
        <v>474929.62</v>
      </c>
      <c r="J225" s="18">
        <f>759.78</f>
        <v>759.78</v>
      </c>
      <c r="K225" s="18">
        <f>46.2</f>
        <v>46.2</v>
      </c>
      <c r="L225" s="19">
        <f t="shared" si="2"/>
        <v>1930847.1600000001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f>10039.41+6334.04</f>
        <v>16373.45</v>
      </c>
      <c r="G226" s="18">
        <f>3962.55+2500.04</f>
        <v>6462.59</v>
      </c>
      <c r="H226" s="18">
        <f>12210.51+1099553.58+693727.83+1568.83</f>
        <v>1807060.75</v>
      </c>
      <c r="I226" s="18">
        <v>14.34</v>
      </c>
      <c r="J226" s="18"/>
      <c r="K226" s="18"/>
      <c r="L226" s="19">
        <f t="shared" si="2"/>
        <v>1829911.1300000001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>
        <f>146365.07</f>
        <v>146365.07</v>
      </c>
      <c r="G227" s="18">
        <f>72386.93</f>
        <v>72386.929999999993</v>
      </c>
      <c r="H227" s="18">
        <f>98512.46+5775+5717.73+3870</f>
        <v>113875.19</v>
      </c>
      <c r="I227" s="18">
        <f>9032.13+49</f>
        <v>9081.1299999999992</v>
      </c>
      <c r="J227" s="18">
        <f>8460.39+6735</f>
        <v>15195.39</v>
      </c>
      <c r="K227" s="18">
        <f>10.82</f>
        <v>10.82</v>
      </c>
      <c r="L227" s="19">
        <f>SUM(F227:K227)</f>
        <v>356914.53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17707086.150000002</v>
      </c>
      <c r="G229" s="41">
        <f>SUM(G215:G228)</f>
        <v>8607751.6900000013</v>
      </c>
      <c r="H229" s="41">
        <f>SUM(H215:H228)</f>
        <v>5776866.9200000009</v>
      </c>
      <c r="I229" s="41">
        <f>SUM(I215:I228)</f>
        <v>586907.90999999992</v>
      </c>
      <c r="J229" s="41">
        <f>SUM(J215:J228)</f>
        <v>28240.720000000001</v>
      </c>
      <c r="K229" s="41">
        <f t="shared" si="3"/>
        <v>7985.6799999999994</v>
      </c>
      <c r="L229" s="41">
        <f t="shared" si="3"/>
        <v>32714839.069999997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f>4197.73-0.01+14368381.98</f>
        <v>14372579.700000001</v>
      </c>
      <c r="G233" s="18">
        <f>-1422040.21+7516533.28</f>
        <v>6094493.0700000003</v>
      </c>
      <c r="H233" s="18">
        <f>142.01+1469.19+500+16824.52+54783.54+2132.71+11280.65+33528+6015.5</f>
        <v>126676.12000000001</v>
      </c>
      <c r="I233" s="18">
        <f>1068.96+163187.85+1340.49+149826.24</f>
        <v>315423.53999999998</v>
      </c>
      <c r="J233" s="18">
        <f>26195.25</f>
        <v>26195.25</v>
      </c>
      <c r="K233" s="18">
        <f>220+985</f>
        <v>1205</v>
      </c>
      <c r="L233" s="19">
        <f>SUM(F233:K233)</f>
        <v>20936572.680000003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f>225587.27+3421746.13</f>
        <v>3647333.4</v>
      </c>
      <c r="G234" s="18">
        <f>-649960.64+2051635.36</f>
        <v>1401674.7200000002</v>
      </c>
      <c r="H234" s="18">
        <f>124984.08+182884.31+22.46+746+563.7+2865041.5+919.73</f>
        <v>3175161.78</v>
      </c>
      <c r="I234" s="18">
        <f>14717.82+33539.01+21356.6</f>
        <v>69613.429999999993</v>
      </c>
      <c r="J234" s="18">
        <f>1353.96+285</f>
        <v>1638.96</v>
      </c>
      <c r="K234" s="18">
        <f>1239.34+1950</f>
        <v>3189.34</v>
      </c>
      <c r="L234" s="19">
        <f>SUM(F234:K234)</f>
        <v>8298611.6299999999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1980094.78</v>
      </c>
      <c r="G235" s="18">
        <f>12.46+1121436.99</f>
        <v>1121449.45</v>
      </c>
      <c r="H235" s="18"/>
      <c r="I235" s="18">
        <v>13098.31</v>
      </c>
      <c r="J235" s="18"/>
      <c r="K235" s="18"/>
      <c r="L235" s="19">
        <f>SUM(F235:K235)</f>
        <v>3114642.54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f>55576.94+815529.35</f>
        <v>871106.29</v>
      </c>
      <c r="G236" s="18">
        <f>16809.44+204379.62</f>
        <v>221189.06</v>
      </c>
      <c r="H236" s="18">
        <f>182987.44+116703.51+12081.39+8922+506.75+1285.5</f>
        <v>322486.59000000003</v>
      </c>
      <c r="I236" s="18">
        <f>865.17+89981.62+20658.45+30602.38</f>
        <v>142107.62</v>
      </c>
      <c r="J236" s="18">
        <f>53.39+35894.18</f>
        <v>35947.57</v>
      </c>
      <c r="K236" s="18">
        <f>160.2+59000+28120.5+32000</f>
        <v>119280.7</v>
      </c>
      <c r="L236" s="19">
        <f>SUM(F236:K236)</f>
        <v>1712117.83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f>58425.59+1528615.5</f>
        <v>1587041.09</v>
      </c>
      <c r="G238" s="18">
        <f>35597.58+773495.97</f>
        <v>809093.54999999993</v>
      </c>
      <c r="H238" s="18">
        <f>1102966.7+311869.74+27212.43</f>
        <v>1442048.8699999999</v>
      </c>
      <c r="I238" s="18">
        <v>136.38</v>
      </c>
      <c r="J238" s="18"/>
      <c r="K238" s="18"/>
      <c r="L238" s="19">
        <f t="shared" ref="L238:L244" si="4">SUM(F238:K238)</f>
        <v>3838319.8899999997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f>6205.63+252658.37</f>
        <v>258864</v>
      </c>
      <c r="G239" s="18">
        <f>4937.26+133472.75+28174.49+20331.41</f>
        <v>186915.91</v>
      </c>
      <c r="H239" s="18">
        <f>163.72+4200+1364</f>
        <v>5727.72</v>
      </c>
      <c r="I239" s="18">
        <f>1430+2103.27+18478.27+4856.01</f>
        <v>26867.550000000003</v>
      </c>
      <c r="J239" s="18"/>
      <c r="K239" s="18"/>
      <c r="L239" s="19">
        <f t="shared" si="4"/>
        <v>478375.18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f>433507.52</f>
        <v>433507.52</v>
      </c>
      <c r="G240" s="18">
        <f>193529.34</f>
        <v>193529.34</v>
      </c>
      <c r="H240" s="18">
        <f>51874.77</f>
        <v>51874.77</v>
      </c>
      <c r="I240" s="18">
        <f>3278.09</f>
        <v>3278.09</v>
      </c>
      <c r="J240" s="18"/>
      <c r="K240" s="18">
        <f>3817.22</f>
        <v>3817.22</v>
      </c>
      <c r="L240" s="19">
        <f t="shared" si="4"/>
        <v>686006.94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1953369.63</v>
      </c>
      <c r="G241" s="18">
        <f>1622.76+929786.02</f>
        <v>931408.78</v>
      </c>
      <c r="H241" s="18">
        <f>11471.9+345+8117.52+4769.8+2623.17+354.54</f>
        <v>27681.93</v>
      </c>
      <c r="I241" s="18">
        <v>25196.5</v>
      </c>
      <c r="J241" s="18"/>
      <c r="K241" s="18">
        <f>22590+8487.57</f>
        <v>31077.57</v>
      </c>
      <c r="L241" s="19">
        <f t="shared" si="4"/>
        <v>2968734.41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f>291212.26</f>
        <v>291212.26</v>
      </c>
      <c r="G242" s="18">
        <f>157090.48</f>
        <v>157090.48000000001</v>
      </c>
      <c r="H242" s="18">
        <f>93344.24</f>
        <v>93344.24</v>
      </c>
      <c r="I242" s="18">
        <f>4492.73</f>
        <v>4492.7299999999996</v>
      </c>
      <c r="J242" s="18"/>
      <c r="K242" s="18">
        <f>66</f>
        <v>66</v>
      </c>
      <c r="L242" s="19">
        <f t="shared" si="4"/>
        <v>546205.71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>
        <f>4166700.61+28107.14+42765.21+19599.7</f>
        <v>4257172.66</v>
      </c>
      <c r="I243" s="18">
        <f>-9653.22+154+333375.94+631189.72</f>
        <v>955066.44</v>
      </c>
      <c r="J243" s="18">
        <f>1591.92+59255</f>
        <v>60846.92</v>
      </c>
      <c r="K243" s="18">
        <f>96.8</f>
        <v>96.8</v>
      </c>
      <c r="L243" s="19">
        <f t="shared" si="4"/>
        <v>5273182.8199999994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f>2934.29+6404.35</f>
        <v>9338.64</v>
      </c>
      <c r="G244" s="18">
        <f>1158.16+2527.79</f>
        <v>3685.95</v>
      </c>
      <c r="H244" s="18">
        <f>3786.95+107984.5+370+321384.92+701451.83+8892.7</f>
        <v>1143870.8999999999</v>
      </c>
      <c r="I244" s="18">
        <v>12.36</v>
      </c>
      <c r="J244" s="18"/>
      <c r="K244" s="18"/>
      <c r="L244" s="19">
        <f t="shared" si="4"/>
        <v>1156907.8500000001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>
        <f>306669.66</f>
        <v>306669.65999999997</v>
      </c>
      <c r="G245" s="18">
        <f>151667.85</f>
        <v>151667.85</v>
      </c>
      <c r="H245" s="18">
        <f>206407.05+3311.53+3233.5</f>
        <v>212952.08</v>
      </c>
      <c r="I245" s="18">
        <f>18924.47+200.1</f>
        <v>19124.57</v>
      </c>
      <c r="J245" s="18">
        <f>17726.54</f>
        <v>17726.54</v>
      </c>
      <c r="K245" s="18">
        <f>22.66</f>
        <v>22.66</v>
      </c>
      <c r="L245" s="19">
        <f>SUM(F245:K245)</f>
        <v>708163.36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25711116.970000003</v>
      </c>
      <c r="G247" s="41">
        <f t="shared" si="5"/>
        <v>11272198.16</v>
      </c>
      <c r="H247" s="41">
        <f t="shared" si="5"/>
        <v>10858997.66</v>
      </c>
      <c r="I247" s="41">
        <f t="shared" si="5"/>
        <v>1574417.52</v>
      </c>
      <c r="J247" s="41">
        <f t="shared" si="5"/>
        <v>142355.24</v>
      </c>
      <c r="K247" s="41">
        <f t="shared" si="5"/>
        <v>158755.28999999998</v>
      </c>
      <c r="L247" s="41">
        <f t="shared" si="5"/>
        <v>49717840.839999996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78146840.700000003</v>
      </c>
      <c r="G257" s="41">
        <f t="shared" si="8"/>
        <v>37218709.170000002</v>
      </c>
      <c r="H257" s="41">
        <f t="shared" si="8"/>
        <v>23732281.130000003</v>
      </c>
      <c r="I257" s="41">
        <f t="shared" si="8"/>
        <v>3393192.7800000003</v>
      </c>
      <c r="J257" s="41">
        <f t="shared" si="8"/>
        <v>223672.11</v>
      </c>
      <c r="K257" s="41">
        <f t="shared" si="8"/>
        <v>281595.76999999996</v>
      </c>
      <c r="L257" s="41">
        <f t="shared" si="8"/>
        <v>142996291.66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6926951.79</v>
      </c>
      <c r="L260" s="19">
        <f>SUM(F260:K260)</f>
        <v>6926951.79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5255812.57</v>
      </c>
      <c r="L261" s="19">
        <f>SUM(F261:K261)</f>
        <v>5255812.57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f>551713+28183</f>
        <v>579896</v>
      </c>
      <c r="L266" s="19">
        <f t="shared" si="9"/>
        <v>579896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12762660.359999999</v>
      </c>
      <c r="L270" s="41">
        <f t="shared" si="9"/>
        <v>12762660.359999999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78146840.700000003</v>
      </c>
      <c r="G271" s="42">
        <f t="shared" si="11"/>
        <v>37218709.170000002</v>
      </c>
      <c r="H271" s="42">
        <f t="shared" si="11"/>
        <v>23732281.130000003</v>
      </c>
      <c r="I271" s="42">
        <f t="shared" si="11"/>
        <v>3393192.7800000003</v>
      </c>
      <c r="J271" s="42">
        <f t="shared" si="11"/>
        <v>223672.11</v>
      </c>
      <c r="K271" s="42">
        <f t="shared" si="11"/>
        <v>13044256.129999999</v>
      </c>
      <c r="L271" s="42">
        <f t="shared" si="11"/>
        <v>155758952.01999998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747565.03</v>
      </c>
      <c r="G276" s="18">
        <v>384508.54</v>
      </c>
      <c r="H276" s="18">
        <v>14969.38</v>
      </c>
      <c r="I276" s="18">
        <v>1238.28</v>
      </c>
      <c r="J276" s="18">
        <v>84300.63</v>
      </c>
      <c r="K276" s="18"/>
      <c r="L276" s="19">
        <f>SUM(F276:K276)</f>
        <v>1232581.8599999999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5008806.91</v>
      </c>
      <c r="G277" s="18">
        <v>2553320.77</v>
      </c>
      <c r="H277" s="18">
        <v>1000711.87</v>
      </c>
      <c r="I277" s="18">
        <v>353466.82</v>
      </c>
      <c r="J277" s="18">
        <v>660698.57999999996</v>
      </c>
      <c r="K277" s="18">
        <v>2713.73</v>
      </c>
      <c r="L277" s="19">
        <f>SUM(F277:K277)</f>
        <v>9579718.6799999997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404393.19</v>
      </c>
      <c r="G279" s="18">
        <v>91640.6</v>
      </c>
      <c r="H279" s="18">
        <v>25789.97</v>
      </c>
      <c r="I279" s="18">
        <v>11395.62</v>
      </c>
      <c r="J279" s="18">
        <v>468.45</v>
      </c>
      <c r="K279" s="18"/>
      <c r="L279" s="19">
        <f>SUM(F279:K279)</f>
        <v>533687.82999999996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372000.22</v>
      </c>
      <c r="G281" s="18">
        <v>208335.75</v>
      </c>
      <c r="H281" s="18">
        <v>91.22</v>
      </c>
      <c r="I281" s="18"/>
      <c r="J281" s="18"/>
      <c r="K281" s="18"/>
      <c r="L281" s="19">
        <f t="shared" ref="L281:L287" si="12">SUM(F281:K281)</f>
        <v>580427.18999999994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26277.09</v>
      </c>
      <c r="G282" s="18">
        <v>9991.9</v>
      </c>
      <c r="H282" s="18">
        <v>428.12</v>
      </c>
      <c r="I282" s="18">
        <v>32972.46</v>
      </c>
      <c r="J282" s="18"/>
      <c r="K282" s="18"/>
      <c r="L282" s="19">
        <f t="shared" si="12"/>
        <v>69669.570000000007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164594.5</v>
      </c>
      <c r="G283" s="18">
        <v>80296.320000000007</v>
      </c>
      <c r="H283" s="18">
        <v>8773.3700000000008</v>
      </c>
      <c r="I283" s="18">
        <v>1037.6400000000001</v>
      </c>
      <c r="J283" s="18">
        <v>1711.45</v>
      </c>
      <c r="K283" s="18"/>
      <c r="L283" s="19">
        <f t="shared" si="12"/>
        <v>256413.28000000003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>
        <v>17680.189999999999</v>
      </c>
      <c r="G288" s="18"/>
      <c r="H288" s="18"/>
      <c r="I288" s="18">
        <v>279363.45</v>
      </c>
      <c r="J288" s="18">
        <f>67877+460920.48+36252.55</f>
        <v>565050.03</v>
      </c>
      <c r="K288" s="18"/>
      <c r="L288" s="19">
        <f>SUM(F288:K288)</f>
        <v>862093.67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6741317.1300000008</v>
      </c>
      <c r="G290" s="42">
        <f t="shared" si="13"/>
        <v>3328093.88</v>
      </c>
      <c r="H290" s="42">
        <f t="shared" si="13"/>
        <v>1050763.93</v>
      </c>
      <c r="I290" s="42">
        <f t="shared" si="13"/>
        <v>679474.27</v>
      </c>
      <c r="J290" s="42">
        <f t="shared" si="13"/>
        <v>1312229.1399999999</v>
      </c>
      <c r="K290" s="42">
        <f t="shared" si="13"/>
        <v>2713.73</v>
      </c>
      <c r="L290" s="41">
        <f t="shared" si="13"/>
        <v>13114592.079999998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v>6931.82</v>
      </c>
      <c r="G295" s="18">
        <v>2943.9</v>
      </c>
      <c r="H295" s="18">
        <v>7972.25</v>
      </c>
      <c r="I295" s="18">
        <v>14.55</v>
      </c>
      <c r="J295" s="18">
        <v>24950.15</v>
      </c>
      <c r="K295" s="18"/>
      <c r="L295" s="19">
        <f>SUM(F295:K295)</f>
        <v>42812.67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1031085.5</v>
      </c>
      <c r="G296" s="18">
        <v>619510.61</v>
      </c>
      <c r="H296" s="18">
        <v>234494.09</v>
      </c>
      <c r="I296" s="18">
        <v>36935.94</v>
      </c>
      <c r="J296" s="18">
        <v>160832.13</v>
      </c>
      <c r="K296" s="18"/>
      <c r="L296" s="19">
        <f>SUM(F296:K296)</f>
        <v>2082858.27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>
        <v>187116.79999999999</v>
      </c>
      <c r="G298" s="18">
        <v>44073.56</v>
      </c>
      <c r="H298" s="18">
        <v>18897.07</v>
      </c>
      <c r="I298" s="18">
        <v>5096.93</v>
      </c>
      <c r="J298" s="18">
        <v>115.64</v>
      </c>
      <c r="K298" s="18"/>
      <c r="L298" s="19">
        <f>SUM(F298:K298)</f>
        <v>255300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v>87878.49</v>
      </c>
      <c r="G300" s="18">
        <v>41182.870000000003</v>
      </c>
      <c r="H300" s="18">
        <v>100.05</v>
      </c>
      <c r="I300" s="18"/>
      <c r="J300" s="18"/>
      <c r="K300" s="18"/>
      <c r="L300" s="19">
        <f t="shared" ref="L300:L306" si="14">SUM(F300:K300)</f>
        <v>129161.41000000002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15766.25</v>
      </c>
      <c r="G301" s="18">
        <v>5550.07</v>
      </c>
      <c r="H301" s="18">
        <v>256.87</v>
      </c>
      <c r="I301" s="18">
        <v>9475.0300000000007</v>
      </c>
      <c r="J301" s="18"/>
      <c r="K301" s="18"/>
      <c r="L301" s="19">
        <f t="shared" si="14"/>
        <v>31048.22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>
        <v>34073.800000000003</v>
      </c>
      <c r="G302" s="18">
        <v>16205.56</v>
      </c>
      <c r="H302" s="18">
        <v>873.26</v>
      </c>
      <c r="I302" s="18">
        <v>480.95</v>
      </c>
      <c r="J302" s="18">
        <v>149.81</v>
      </c>
      <c r="K302" s="18"/>
      <c r="L302" s="19">
        <f t="shared" si="14"/>
        <v>51783.38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>
        <v>116.92</v>
      </c>
      <c r="G307" s="18"/>
      <c r="H307" s="18"/>
      <c r="I307" s="18"/>
      <c r="J307" s="18">
        <f>59116.75+253112.02+19852.58</f>
        <v>332081.35000000003</v>
      </c>
      <c r="K307" s="18"/>
      <c r="L307" s="19">
        <f>SUM(F307:K307)</f>
        <v>332198.27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1362969.5799999998</v>
      </c>
      <c r="G309" s="42">
        <f t="shared" si="15"/>
        <v>729466.57000000007</v>
      </c>
      <c r="H309" s="42">
        <f t="shared" si="15"/>
        <v>262593.58999999997</v>
      </c>
      <c r="I309" s="42">
        <f t="shared" si="15"/>
        <v>52003.4</v>
      </c>
      <c r="J309" s="42">
        <f t="shared" si="15"/>
        <v>518129.08000000007</v>
      </c>
      <c r="K309" s="42">
        <f t="shared" si="15"/>
        <v>0</v>
      </c>
      <c r="L309" s="41">
        <f t="shared" si="15"/>
        <v>2925162.22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213514.64</v>
      </c>
      <c r="G314" s="18">
        <v>90789.36</v>
      </c>
      <c r="H314" s="18">
        <v>20902.98</v>
      </c>
      <c r="I314" s="18">
        <v>25333.01</v>
      </c>
      <c r="J314" s="18">
        <v>10042</v>
      </c>
      <c r="K314" s="18">
        <v>59480.800000000003</v>
      </c>
      <c r="L314" s="19">
        <f>SUM(F314:K314)</f>
        <v>420062.79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1460465.38</v>
      </c>
      <c r="G315" s="18">
        <v>1000608.31</v>
      </c>
      <c r="H315" s="18">
        <v>25993.34</v>
      </c>
      <c r="I315" s="18">
        <v>5990.06</v>
      </c>
      <c r="J315" s="18">
        <v>17882.13</v>
      </c>
      <c r="K315" s="18"/>
      <c r="L315" s="19">
        <f>SUM(F315:K315)</f>
        <v>2510939.2199999997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>
        <v>16718.75</v>
      </c>
      <c r="G316" s="18">
        <v>1757.74</v>
      </c>
      <c r="H316" s="18">
        <v>31462.2</v>
      </c>
      <c r="I316" s="18">
        <v>171205.9</v>
      </c>
      <c r="J316" s="18">
        <v>186792.85</v>
      </c>
      <c r="K316" s="18">
        <v>4765</v>
      </c>
      <c r="L316" s="19">
        <f>SUM(F316:K316)</f>
        <v>412702.44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>
        <v>234885.49</v>
      </c>
      <c r="G317" s="18">
        <v>39221.64</v>
      </c>
      <c r="H317" s="18">
        <v>45216.87</v>
      </c>
      <c r="I317" s="18">
        <v>16364.02</v>
      </c>
      <c r="J317" s="18">
        <v>80.91</v>
      </c>
      <c r="K317" s="18">
        <v>178</v>
      </c>
      <c r="L317" s="19">
        <f>SUM(F317:K317)</f>
        <v>335946.93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v>53618.86</v>
      </c>
      <c r="G319" s="18">
        <v>21525.49</v>
      </c>
      <c r="H319" s="18">
        <v>6418.64</v>
      </c>
      <c r="I319" s="18">
        <v>10028.36</v>
      </c>
      <c r="J319" s="18">
        <v>2588.7800000000002</v>
      </c>
      <c r="K319" s="18"/>
      <c r="L319" s="19">
        <f t="shared" ref="L319:L325" si="16">SUM(F319:K319)</f>
        <v>94180.13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96135.65</v>
      </c>
      <c r="G320" s="18">
        <v>41778.36</v>
      </c>
      <c r="H320" s="18">
        <v>77322.36</v>
      </c>
      <c r="I320" s="18">
        <v>7722.53</v>
      </c>
      <c r="J320" s="18">
        <v>5120.4399999999996</v>
      </c>
      <c r="K320" s="18"/>
      <c r="L320" s="19">
        <f t="shared" si="16"/>
        <v>228079.34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>
        <v>9560.42</v>
      </c>
      <c r="G321" s="18">
        <v>3213.47</v>
      </c>
      <c r="H321" s="18">
        <v>291.95</v>
      </c>
      <c r="I321" s="18">
        <v>958.12</v>
      </c>
      <c r="J321" s="18">
        <v>6.73</v>
      </c>
      <c r="K321" s="18">
        <v>19462.580000000002</v>
      </c>
      <c r="L321" s="19">
        <f t="shared" si="16"/>
        <v>33493.270000000004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>
        <v>2418.75</v>
      </c>
      <c r="G322" s="18">
        <v>646.61</v>
      </c>
      <c r="H322" s="18">
        <v>2385.5</v>
      </c>
      <c r="I322" s="18">
        <v>3351.66</v>
      </c>
      <c r="J322" s="18"/>
      <c r="K322" s="18"/>
      <c r="L322" s="19">
        <f t="shared" si="16"/>
        <v>8802.52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>
        <f>3529.59+0.02</f>
        <v>3529.61</v>
      </c>
      <c r="G326" s="18"/>
      <c r="H326" s="18">
        <v>1079</v>
      </c>
      <c r="I326" s="18"/>
      <c r="J326" s="18">
        <f>257277.14+378965.3+30210.47</f>
        <v>666452.90999999992</v>
      </c>
      <c r="K326" s="18"/>
      <c r="L326" s="19">
        <f>SUM(F326:K326)</f>
        <v>671061.5199999999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2090847.55</v>
      </c>
      <c r="G328" s="42">
        <f t="shared" si="17"/>
        <v>1199540.9800000002</v>
      </c>
      <c r="H328" s="42">
        <f t="shared" si="17"/>
        <v>211072.84000000003</v>
      </c>
      <c r="I328" s="42">
        <f t="shared" si="17"/>
        <v>240953.65999999997</v>
      </c>
      <c r="J328" s="42">
        <f t="shared" si="17"/>
        <v>888966.75</v>
      </c>
      <c r="K328" s="42">
        <f t="shared" si="17"/>
        <v>83886.38</v>
      </c>
      <c r="L328" s="41">
        <f t="shared" si="17"/>
        <v>4715268.1599999992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>
        <f>2313.68+1388.21+2908.61</f>
        <v>6610.5</v>
      </c>
      <c r="I332" s="18"/>
      <c r="J332" s="18"/>
      <c r="K332" s="18"/>
      <c r="L332" s="19">
        <f t="shared" ref="L332:L337" si="18">SUM(F332:K332)</f>
        <v>6610.5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>
        <v>392393.5</v>
      </c>
      <c r="G333" s="18">
        <v>42827.26</v>
      </c>
      <c r="H333" s="18">
        <v>26136.86</v>
      </c>
      <c r="I333" s="18">
        <v>35816.54</v>
      </c>
      <c r="J333" s="18">
        <v>36246.769999999997</v>
      </c>
      <c r="K333" s="18"/>
      <c r="L333" s="19">
        <f t="shared" si="18"/>
        <v>533420.92999999993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392393.5</v>
      </c>
      <c r="G337" s="41">
        <f t="shared" si="19"/>
        <v>42827.26</v>
      </c>
      <c r="H337" s="41">
        <f t="shared" si="19"/>
        <v>32747.360000000001</v>
      </c>
      <c r="I337" s="41">
        <f t="shared" si="19"/>
        <v>35816.54</v>
      </c>
      <c r="J337" s="41">
        <f t="shared" si="19"/>
        <v>36246.769999999997</v>
      </c>
      <c r="K337" s="41">
        <f t="shared" si="19"/>
        <v>0</v>
      </c>
      <c r="L337" s="41">
        <f t="shared" si="18"/>
        <v>540031.42999999993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10587527.760000002</v>
      </c>
      <c r="G338" s="41">
        <f t="shared" si="20"/>
        <v>5299928.6900000004</v>
      </c>
      <c r="H338" s="41">
        <f t="shared" si="20"/>
        <v>1557177.7200000002</v>
      </c>
      <c r="I338" s="41">
        <f t="shared" si="20"/>
        <v>1008247.8700000001</v>
      </c>
      <c r="J338" s="41">
        <f t="shared" si="20"/>
        <v>2755571.7399999998</v>
      </c>
      <c r="K338" s="41">
        <f t="shared" si="20"/>
        <v>86600.11</v>
      </c>
      <c r="L338" s="41">
        <f t="shared" si="20"/>
        <v>21295053.889999997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f>95908.41+15649.42+20454.75+6068.45</f>
        <v>138081.03000000003</v>
      </c>
      <c r="L344" s="19">
        <f t="shared" ref="L344:L350" si="21">SUM(F344:K344)</f>
        <v>138081.03000000003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138081.03000000003</v>
      </c>
      <c r="L351" s="41">
        <f>SUM(L341:L350)</f>
        <v>138081.03000000003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10587527.760000002</v>
      </c>
      <c r="G352" s="41">
        <f>G338</f>
        <v>5299928.6900000004</v>
      </c>
      <c r="H352" s="41">
        <f>H338</f>
        <v>1557177.7200000002</v>
      </c>
      <c r="I352" s="41">
        <f>I338</f>
        <v>1008247.8700000001</v>
      </c>
      <c r="J352" s="41">
        <f>J338</f>
        <v>2755571.7399999998</v>
      </c>
      <c r="K352" s="47">
        <f>K338+K351</f>
        <v>224681.14</v>
      </c>
      <c r="L352" s="41">
        <f>L338+L351</f>
        <v>21433134.919999998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f>112060.88+34590.46+512213.23</f>
        <v>658864.56999999995</v>
      </c>
      <c r="G358" s="18">
        <f>65552.69+17718.92+156109.16</f>
        <v>239380.77000000002</v>
      </c>
      <c r="H358" s="18">
        <f>12305.01+5414.91+3119.8+263.19+147.18+1117.9+417.7+3671.4+16.14+16731.67+8308.81+1167.23+18936.3+59.86+19870.51</f>
        <v>91547.609999999986</v>
      </c>
      <c r="I358" s="18">
        <f>3656.44+13938+9935.26+4990.26+151076.26+943922.96</f>
        <v>1127519.18</v>
      </c>
      <c r="J358" s="18">
        <f>10555.73+9171.92</f>
        <v>19727.650000000001</v>
      </c>
      <c r="K358" s="18"/>
      <c r="L358" s="13">
        <f>SUM(F358:K358)</f>
        <v>2137039.7799999998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f>81476.54-0.03+144124.05+389530.38</f>
        <v>615130.93999999994</v>
      </c>
      <c r="G359" s="18">
        <f>47661.65+59155.8+154776.17</f>
        <v>261593.62000000002</v>
      </c>
      <c r="H359" s="18">
        <f>8946.65+3937.04+2268.33+191.36+107.01+812.8+303.7+2669.38+11.74+16666.67+20584.33+1683.57+7991.25+14447.33</f>
        <v>80621.16</v>
      </c>
      <c r="I359" s="18">
        <f>2658.5+10133.96+7223.67+3628.29+109843.61+455277.28</f>
        <v>588765.31000000006</v>
      </c>
      <c r="J359" s="18">
        <f>7674.8</f>
        <v>7674.8</v>
      </c>
      <c r="K359" s="18"/>
      <c r="L359" s="19">
        <f>SUM(F359:K359)</f>
        <v>1553785.83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f>88440.42-0.01+98987.72+512721.54</f>
        <v>700149.66999999993</v>
      </c>
      <c r="G360" s="18">
        <f>51735.34+45330+207855.07</f>
        <v>304920.41000000003</v>
      </c>
      <c r="H360" s="18">
        <f>9711.33+4273.54+2462.2+207.72+116.16+882.27+329.66+2897.54+12.74+17316.66+7273.44+1288.16+6157.5+15682.16</f>
        <v>68611.080000000016</v>
      </c>
      <c r="I360" s="18">
        <f>2885.72+11000.11+7841.08+3938.4+119232.05+459680.17</f>
        <v>604577.53</v>
      </c>
      <c r="J360" s="18">
        <f>8330.77</f>
        <v>8330.77</v>
      </c>
      <c r="K360" s="18"/>
      <c r="L360" s="19">
        <f>SUM(F360:K360)</f>
        <v>1686589.46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1974145.1799999997</v>
      </c>
      <c r="G362" s="47">
        <f t="shared" si="22"/>
        <v>805894.8</v>
      </c>
      <c r="H362" s="47">
        <f t="shared" si="22"/>
        <v>240779.85</v>
      </c>
      <c r="I362" s="47">
        <f t="shared" si="22"/>
        <v>2320862.02</v>
      </c>
      <c r="J362" s="47">
        <f t="shared" si="22"/>
        <v>35733.22</v>
      </c>
      <c r="K362" s="47">
        <f t="shared" si="22"/>
        <v>0</v>
      </c>
      <c r="L362" s="47">
        <f t="shared" si="22"/>
        <v>5377415.0700000003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1024171.11</v>
      </c>
      <c r="G367" s="18">
        <v>538738.56999999995</v>
      </c>
      <c r="H367" s="18">
        <v>555621.64</v>
      </c>
      <c r="I367" s="56">
        <f>SUM(F367:H367)</f>
        <v>2118531.3199999998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103348.07</v>
      </c>
      <c r="G368" s="63">
        <v>50026.73</v>
      </c>
      <c r="H368" s="63">
        <v>48955.9</v>
      </c>
      <c r="I368" s="56">
        <f>SUM(F368:H368)</f>
        <v>202330.7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1127519.18</v>
      </c>
      <c r="G369" s="47">
        <f>SUM(G367:G368)</f>
        <v>588765.29999999993</v>
      </c>
      <c r="H369" s="47">
        <f>SUM(H367:H368)</f>
        <v>604577.54</v>
      </c>
      <c r="I369" s="47">
        <f>SUM(I367:I368)</f>
        <v>2320862.02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>
        <v>-38</v>
      </c>
      <c r="I395" s="18"/>
      <c r="J395" s="24" t="s">
        <v>289</v>
      </c>
      <c r="K395" s="24" t="s">
        <v>289</v>
      </c>
      <c r="L395" s="56">
        <f t="shared" ref="L395:L400" si="26">SUM(F395:K395)</f>
        <v>-38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521965</v>
      </c>
      <c r="H397" s="18">
        <v>6583</v>
      </c>
      <c r="I397" s="18"/>
      <c r="J397" s="24" t="s">
        <v>289</v>
      </c>
      <c r="K397" s="24" t="s">
        <v>289</v>
      </c>
      <c r="L397" s="56">
        <f t="shared" si="26"/>
        <v>528548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>
        <v>57931</v>
      </c>
      <c r="H400" s="18">
        <f>35+92+335</f>
        <v>462</v>
      </c>
      <c r="I400" s="18"/>
      <c r="J400" s="24" t="s">
        <v>289</v>
      </c>
      <c r="K400" s="24" t="s">
        <v>289</v>
      </c>
      <c r="L400" s="56">
        <f t="shared" si="26"/>
        <v>58393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579896</v>
      </c>
      <c r="H401" s="47">
        <f>SUM(H395:H400)</f>
        <v>7007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586903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579896</v>
      </c>
      <c r="H408" s="47">
        <f>H393+H401+H407</f>
        <v>7007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586903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>
        <v>579896</v>
      </c>
      <c r="H441" s="18"/>
      <c r="I441" s="56">
        <f t="shared" si="33"/>
        <v>579896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>
        <v>1260786.6599999999</v>
      </c>
      <c r="H442" s="18"/>
      <c r="I442" s="56">
        <f t="shared" si="33"/>
        <v>1260786.6599999999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1840682.66</v>
      </c>
      <c r="H446" s="13">
        <f>SUM(H439:H445)</f>
        <v>0</v>
      </c>
      <c r="I446" s="13">
        <f>SUM(I439:I445)</f>
        <v>1840682.66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1840682.66</v>
      </c>
      <c r="H459" s="18"/>
      <c r="I459" s="56">
        <f t="shared" si="34"/>
        <v>1840682.66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1840682.66</v>
      </c>
      <c r="H460" s="83">
        <f>SUM(H454:H459)</f>
        <v>0</v>
      </c>
      <c r="I460" s="83">
        <f>SUM(I454:I459)</f>
        <v>1840682.66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1840682.66</v>
      </c>
      <c r="H461" s="42">
        <f>H452+H460</f>
        <v>0</v>
      </c>
      <c r="I461" s="42">
        <f>I452+I460</f>
        <v>1840682.66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1050535.6299999999</v>
      </c>
      <c r="G465" s="18">
        <v>246759.69</v>
      </c>
      <c r="H465" s="18">
        <v>959567.66</v>
      </c>
      <c r="I465" s="18"/>
      <c r="J465" s="18">
        <v>1253779.6599999999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156776047.09999999</v>
      </c>
      <c r="G468" s="18">
        <v>5251633.8</v>
      </c>
      <c r="H468" s="18">
        <v>21502308.030000001</v>
      </c>
      <c r="I468" s="18"/>
      <c r="J468" s="18">
        <v>586903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156776047.09999999</v>
      </c>
      <c r="G470" s="53">
        <f>SUM(G468:G469)</f>
        <v>5251633.8</v>
      </c>
      <c r="H470" s="53">
        <f>SUM(H468:H469)</f>
        <v>21502308.030000001</v>
      </c>
      <c r="I470" s="53">
        <f>SUM(I468:I469)</f>
        <v>0</v>
      </c>
      <c r="J470" s="53">
        <f>SUM(J468:J469)</f>
        <v>586903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155730769.02+28183</f>
        <v>155758952.02000001</v>
      </c>
      <c r="G472" s="18">
        <v>5377415.0700000003</v>
      </c>
      <c r="H472" s="18">
        <v>21433134.920000002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155758952.02000001</v>
      </c>
      <c r="G474" s="53">
        <f>SUM(G472:G473)</f>
        <v>5377415.0700000003</v>
      </c>
      <c r="H474" s="53">
        <f>SUM(H472:H473)</f>
        <v>21433134.920000002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2067630.7099999785</v>
      </c>
      <c r="G476" s="53">
        <f>(G465+G470)- G474</f>
        <v>120978.41999999993</v>
      </c>
      <c r="H476" s="53">
        <f>(H465+H470)- H474</f>
        <v>1028740.7699999996</v>
      </c>
      <c r="I476" s="53">
        <f>(I465+I470)- I474</f>
        <v>0</v>
      </c>
      <c r="J476" s="53">
        <f>(J465+J470)- J474</f>
        <v>1840682.66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>
        <v>6939380.1699999999</v>
      </c>
      <c r="G507" s="144">
        <v>469134.69</v>
      </c>
      <c r="H507" s="144">
        <v>899199.15</v>
      </c>
      <c r="I507" s="144">
        <v>6509315.71</v>
      </c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6249548.17+22310.98+760870.78+391507.95+52010.1+37529.96+222310.75+1281.8+61857.9+184912.86+137703.26+35971.39+9000.54</f>
        <v>8166816.4400000004</v>
      </c>
      <c r="G521" s="18">
        <f>4574561.34+6403.53+463065.58+243388.74+73603.81+8216.25+106901.62+33752.51-512693.15+50607.16+29227.31+6833.22</f>
        <v>5083867.919999999</v>
      </c>
      <c r="H521" s="18">
        <f>123388.8+595+993.56+179+293428.74+3098.3+25356.88+37.23+131684.8+743.15+890+300766.86+478824.53+90722.42+7790.21+41522.38+110.25+538.54+121.37+245+245.23</f>
        <v>1501282.25</v>
      </c>
      <c r="I521" s="18">
        <f>129361.9+32220.83+398.49+247.5+1733.5+1921+10371.29+2451.28+2537.19+1013.65</f>
        <v>182256.62999999998</v>
      </c>
      <c r="J521" s="18">
        <f>3732.78+1802+130.2</f>
        <v>5664.9800000000005</v>
      </c>
      <c r="K521" s="18">
        <v>985.84</v>
      </c>
      <c r="L521" s="88">
        <f>SUM(F521:K521)</f>
        <v>14940874.060000001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f>3076887.49+46433.35+384698.26+404259.4+108316.45+139344.98+40659.32+110947.71+82621.96+21582.83+5400.32</f>
        <v>4421152.0700000012</v>
      </c>
      <c r="G522" s="18">
        <f>2062003.42+39268.07+216667.98+250146.49+60500.01+107646.39+33283.05-307615.89+30364.29+17536.39+4099.93</f>
        <v>2513900.13</v>
      </c>
      <c r="H522" s="18">
        <f>38268.56+256699.38+845.87+104317.51+24312.5+194874.58+672255.85+173381.16+83.69+54433.45+4674.12+24913.43+66.15+323.12+72.82+147+147.14</f>
        <v>1549816.3299999998</v>
      </c>
      <c r="I522" s="18">
        <f>14223.62+149+293.94+356.68+139.2+6222.77+1470.77+1522.31+608.19</f>
        <v>24986.480000000003</v>
      </c>
      <c r="J522" s="18">
        <f>253.95+78.12</f>
        <v>332.07</v>
      </c>
      <c r="K522" s="18">
        <v>591.5</v>
      </c>
      <c r="L522" s="88">
        <f>SUM(F522:K522)</f>
        <v>8510778.5800000019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f>2781806.19+55809.37+333311.8+442690.6+19462.08+42097.12+125693.86+40345.81+4517.76+232461.88+173112.67+45221.18+11314.96</f>
        <v>4307845.2799999993</v>
      </c>
      <c r="G523" s="18">
        <f>1803898.24+18440.7+221541.86+298675.14+21925.39+25577.31+99009.06+9690.11+3698.43-644528.53+63620.43+0.01+36742.91+8590.33</f>
        <v>1966881.3900000001</v>
      </c>
      <c r="H523" s="18">
        <f>182704.31+22.46+746+563.7+855348.69+893.69+94320.59+862035.17+26.04+1024667.73+28669.32+114051.04+9793.4+52199.56+138.6+677.02+152.59+308+308.29</f>
        <v>3227626.1999999997</v>
      </c>
      <c r="I523" s="18">
        <f>32666.81+18086.66+338.75+13038.19+3081.61+3189.6+1274.31</f>
        <v>71675.930000000008</v>
      </c>
      <c r="J523" s="18">
        <f>1353.96+285+163.68</f>
        <v>1802.64</v>
      </c>
      <c r="K523" s="18">
        <f>1950+1239.34+0.01</f>
        <v>3189.3500000000004</v>
      </c>
      <c r="L523" s="88">
        <f>SUM(F523:K523)</f>
        <v>9579020.7899999991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16895813.789999999</v>
      </c>
      <c r="G524" s="108">
        <f t="shared" ref="G524:L524" si="36">SUM(G521:G523)</f>
        <v>9564649.4399999995</v>
      </c>
      <c r="H524" s="108">
        <f t="shared" si="36"/>
        <v>6278724.7799999993</v>
      </c>
      <c r="I524" s="108">
        <f t="shared" si="36"/>
        <v>278919.03999999998</v>
      </c>
      <c r="J524" s="108">
        <f t="shared" si="36"/>
        <v>7799.6900000000005</v>
      </c>
      <c r="K524" s="108">
        <f t="shared" si="36"/>
        <v>4766.6900000000005</v>
      </c>
      <c r="L524" s="89">
        <f t="shared" si="36"/>
        <v>33030673.43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f>-163.31+414393.52+980427.85+444296.33+226.88+9.92+117569.04</f>
        <v>1956760.23</v>
      </c>
      <c r="G526" s="18">
        <f>-115.35+216682.04+472935.41+263860.77+741.78+70+5145+825+61716.89</f>
        <v>1021861.54</v>
      </c>
      <c r="H526" s="18">
        <f>193259.38+26.51+47050+220762.5+637.5+486.69+848+2287.32+231.21+133825.03+66.81</f>
        <v>599480.95000000007</v>
      </c>
      <c r="I526" s="18">
        <f>376.15+201.3+1692.58+283.74+172.84</f>
        <v>2726.6099999999997</v>
      </c>
      <c r="J526" s="18"/>
      <c r="K526" s="18"/>
      <c r="L526" s="88">
        <f>SUM(F526:K526)</f>
        <v>3580829.33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f>196891.37+101767.38+29696.38+70541.42</f>
        <v>398896.55</v>
      </c>
      <c r="G527" s="18">
        <f>33.48+98984.07+43231.92+16807.64+2354.57+2029.5+37030.14</f>
        <v>200471.32</v>
      </c>
      <c r="H527" s="18">
        <f>60.17+126147.91+136.89+64435+148.28+969+27.16+80295.02+40.08</f>
        <v>272259.51</v>
      </c>
      <c r="I527" s="18">
        <v>103.71</v>
      </c>
      <c r="J527" s="18"/>
      <c r="K527" s="18"/>
      <c r="L527" s="88">
        <f>SUM(F527:K527)</f>
        <v>871731.09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f>45177.08+79743.78+64751.6+55291.11+147801.07</f>
        <v>392764.64</v>
      </c>
      <c r="G528" s="18">
        <f>35736.07+36603.95+29190.59+29766.55+1370.5+2873.19+1308.75+77586.95</f>
        <v>214436.55</v>
      </c>
      <c r="H528" s="18">
        <f>13635.37+155517.69+572+80829.3+74950.75+9545.98+4031.08+168237.19+83.99</f>
        <v>507403.35</v>
      </c>
      <c r="I528" s="18">
        <v>217.29</v>
      </c>
      <c r="J528" s="18"/>
      <c r="K528" s="18"/>
      <c r="L528" s="88">
        <f>SUM(F528:K528)</f>
        <v>1114821.83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2748421.42</v>
      </c>
      <c r="G529" s="89">
        <f t="shared" ref="G529:L529" si="37">SUM(G526:G528)</f>
        <v>1436769.4100000001</v>
      </c>
      <c r="H529" s="89">
        <f t="shared" si="37"/>
        <v>1379143.81</v>
      </c>
      <c r="I529" s="89">
        <f t="shared" si="37"/>
        <v>3047.6099999999997</v>
      </c>
      <c r="J529" s="89">
        <f t="shared" si="37"/>
        <v>0</v>
      </c>
      <c r="K529" s="89">
        <f t="shared" si="37"/>
        <v>0</v>
      </c>
      <c r="L529" s="89">
        <f t="shared" si="37"/>
        <v>5567382.25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123935.09</v>
      </c>
      <c r="G531" s="18">
        <v>44712.25</v>
      </c>
      <c r="H531" s="18">
        <v>404.96</v>
      </c>
      <c r="I531" s="18">
        <v>43.82</v>
      </c>
      <c r="J531" s="18"/>
      <c r="K531" s="18"/>
      <c r="L531" s="88">
        <f>SUM(F531:K531)</f>
        <v>169096.12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74361.05</v>
      </c>
      <c r="G532" s="18">
        <v>26827.35</v>
      </c>
      <c r="H532" s="18">
        <v>242.97</v>
      </c>
      <c r="I532" s="18">
        <v>26.29</v>
      </c>
      <c r="J532" s="18"/>
      <c r="K532" s="18"/>
      <c r="L532" s="88">
        <f>SUM(F532:K532)</f>
        <v>101457.65999999999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155804.10999999999</v>
      </c>
      <c r="G533" s="18">
        <v>56209.68</v>
      </c>
      <c r="H533" s="18">
        <v>509.09</v>
      </c>
      <c r="I533" s="18">
        <v>55.09</v>
      </c>
      <c r="J533" s="18"/>
      <c r="K533" s="18"/>
      <c r="L533" s="88">
        <f>SUM(F533:K533)</f>
        <v>212577.96999999997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354100.25</v>
      </c>
      <c r="G534" s="89">
        <f t="shared" ref="G534:L534" si="38">SUM(G531:G533)</f>
        <v>127749.28</v>
      </c>
      <c r="H534" s="89">
        <f>SUM(H531:H533)</f>
        <v>1157.02</v>
      </c>
      <c r="I534" s="89">
        <f t="shared" si="38"/>
        <v>125.2</v>
      </c>
      <c r="J534" s="89">
        <f t="shared" si="38"/>
        <v>0</v>
      </c>
      <c r="K534" s="89">
        <f t="shared" si="38"/>
        <v>0</v>
      </c>
      <c r="L534" s="89">
        <f t="shared" si="38"/>
        <v>483131.74999999994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8516.2000000000007</v>
      </c>
      <c r="I536" s="18"/>
      <c r="J536" s="18"/>
      <c r="K536" s="18"/>
      <c r="L536" s="88">
        <f>SUM(F536:K536)</f>
        <v>8516.2000000000007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>
        <v>5109.72</v>
      </c>
      <c r="I537" s="18"/>
      <c r="J537" s="18"/>
      <c r="K537" s="18"/>
      <c r="L537" s="88">
        <f>SUM(F537:K537)</f>
        <v>5109.72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10706.09</v>
      </c>
      <c r="I538" s="18"/>
      <c r="J538" s="18"/>
      <c r="K538" s="18"/>
      <c r="L538" s="88">
        <f>SUM(F538:K538)</f>
        <v>10706.09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>SUM(H536:H538)</f>
        <v>24332.010000000002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24332.010000000002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>
        <v>12417.14</v>
      </c>
      <c r="G541" s="18">
        <v>4901.04</v>
      </c>
      <c r="H541" s="18">
        <v>1359987.87</v>
      </c>
      <c r="I541" s="18"/>
      <c r="J541" s="18"/>
      <c r="K541" s="18"/>
      <c r="L541" s="88">
        <f>SUM(F541:K541)</f>
        <v>1377306.05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>
        <v>6334.04</v>
      </c>
      <c r="G542" s="18">
        <v>2500.04</v>
      </c>
      <c r="H542" s="18">
        <v>693727.83</v>
      </c>
      <c r="I542" s="18"/>
      <c r="J542" s="18"/>
      <c r="K542" s="18"/>
      <c r="L542" s="88">
        <f>SUM(F542:K542)</f>
        <v>702561.90999999992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>
        <v>6404.35</v>
      </c>
      <c r="G543" s="18">
        <v>2527.79</v>
      </c>
      <c r="H543" s="18">
        <v>701451.83</v>
      </c>
      <c r="I543" s="18"/>
      <c r="J543" s="18"/>
      <c r="K543" s="18"/>
      <c r="L543" s="88">
        <f>SUM(F543:K543)</f>
        <v>710383.97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25155.53</v>
      </c>
      <c r="G544" s="193">
        <f t="shared" ref="G544:L544" si="40">SUM(G541:G543)</f>
        <v>9928.869999999999</v>
      </c>
      <c r="H544" s="193">
        <f t="shared" si="40"/>
        <v>2755167.5300000003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2790251.9299999997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20023490.990000002</v>
      </c>
      <c r="G545" s="89">
        <f t="shared" ref="G545:L545" si="41">G524+G529+G534+G539+G544</f>
        <v>11139096.999999998</v>
      </c>
      <c r="H545" s="89">
        <f t="shared" si="41"/>
        <v>10438525.149999999</v>
      </c>
      <c r="I545" s="89">
        <f t="shared" si="41"/>
        <v>282091.84999999998</v>
      </c>
      <c r="J545" s="89">
        <f t="shared" si="41"/>
        <v>7799.6900000000005</v>
      </c>
      <c r="K545" s="89">
        <f t="shared" si="41"/>
        <v>4766.6900000000005</v>
      </c>
      <c r="L545" s="89">
        <f t="shared" si="41"/>
        <v>41895771.369999997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14940874.060000001</v>
      </c>
      <c r="G549" s="87">
        <f>L526</f>
        <v>3580829.33</v>
      </c>
      <c r="H549" s="87">
        <f>L531</f>
        <v>169096.12</v>
      </c>
      <c r="I549" s="87">
        <f>L536</f>
        <v>8516.2000000000007</v>
      </c>
      <c r="J549" s="87">
        <f>L541</f>
        <v>1377306.05</v>
      </c>
      <c r="K549" s="87">
        <f>SUM(F549:J549)</f>
        <v>20076621.760000002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8510778.5800000019</v>
      </c>
      <c r="G550" s="87">
        <f>L527</f>
        <v>871731.09</v>
      </c>
      <c r="H550" s="87">
        <f>L532</f>
        <v>101457.65999999999</v>
      </c>
      <c r="I550" s="87">
        <f>L537</f>
        <v>5109.72</v>
      </c>
      <c r="J550" s="87">
        <f>L542</f>
        <v>702561.90999999992</v>
      </c>
      <c r="K550" s="87">
        <f>SUM(F550:J550)</f>
        <v>10191638.960000003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9579020.7899999991</v>
      </c>
      <c r="G551" s="87">
        <f>L528</f>
        <v>1114821.83</v>
      </c>
      <c r="H551" s="87">
        <f>L533</f>
        <v>212577.96999999997</v>
      </c>
      <c r="I551" s="87">
        <f>L538</f>
        <v>10706.09</v>
      </c>
      <c r="J551" s="87">
        <f>L543</f>
        <v>710383.97</v>
      </c>
      <c r="K551" s="87">
        <f>SUM(F551:J551)</f>
        <v>11627510.65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33030673.43</v>
      </c>
      <c r="G552" s="89">
        <f t="shared" si="42"/>
        <v>5567382.25</v>
      </c>
      <c r="H552" s="89">
        <f t="shared" si="42"/>
        <v>483131.74999999994</v>
      </c>
      <c r="I552" s="89">
        <f t="shared" si="42"/>
        <v>24332.010000000002</v>
      </c>
      <c r="J552" s="89">
        <f t="shared" si="42"/>
        <v>2790251.9299999997</v>
      </c>
      <c r="K552" s="89">
        <f t="shared" si="42"/>
        <v>41895771.370000005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>
        <f>451473.49+2996250.33</f>
        <v>3447723.8200000003</v>
      </c>
      <c r="G557" s="18">
        <f>240768.05+1261665.66</f>
        <v>1502433.71</v>
      </c>
      <c r="H557" s="18">
        <f>519478.67+309784.19+24708.16</f>
        <v>853971.02</v>
      </c>
      <c r="I557" s="18">
        <f>27420.35+130317.27+177183.47</f>
        <v>334921.08999999997</v>
      </c>
      <c r="J557" s="18">
        <f>44536.17+566289.5+15618.14</f>
        <v>626443.81000000006</v>
      </c>
      <c r="K557" s="18">
        <v>2713.73</v>
      </c>
      <c r="L557" s="88">
        <f>SUM(F557:K557)</f>
        <v>6768207.1800000016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>
        <f>39531.29+114699.35</f>
        <v>154230.64000000001</v>
      </c>
      <c r="G558" s="18">
        <f>21081.8+46823.06</f>
        <v>67904.86</v>
      </c>
      <c r="H558" s="18">
        <f>45485.87+142426.66+588+4519.6</f>
        <v>193020.13</v>
      </c>
      <c r="I558" s="18">
        <f>2400.94+12479.04+15601.11</f>
        <v>30481.090000000004</v>
      </c>
      <c r="J558" s="18">
        <f>3899.61+143092</f>
        <v>146991.60999999999</v>
      </c>
      <c r="K558" s="18"/>
      <c r="L558" s="88">
        <f>SUM(F558:K558)</f>
        <v>592628.33000000007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>
        <f>1753.09+15235.6</f>
        <v>16988.689999999999</v>
      </c>
      <c r="G559" s="18">
        <f>934.91+6061.06</f>
        <v>6995.97</v>
      </c>
      <c r="H559" s="18">
        <f>2017.16</f>
        <v>2017.16</v>
      </c>
      <c r="I559" s="18">
        <f>106.47</f>
        <v>106.47</v>
      </c>
      <c r="J559" s="18">
        <f>172.94</f>
        <v>172.94</v>
      </c>
      <c r="K559" s="18"/>
      <c r="L559" s="88">
        <f>SUM(F559:K559)</f>
        <v>26281.23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3618943.1500000004</v>
      </c>
      <c r="G560" s="108">
        <f t="shared" si="43"/>
        <v>1577334.54</v>
      </c>
      <c r="H560" s="108">
        <f t="shared" si="43"/>
        <v>1049008.31</v>
      </c>
      <c r="I560" s="108">
        <f t="shared" si="43"/>
        <v>365508.64999999997</v>
      </c>
      <c r="J560" s="108">
        <f t="shared" si="43"/>
        <v>773608.36</v>
      </c>
      <c r="K560" s="108">
        <f t="shared" si="43"/>
        <v>2713.73</v>
      </c>
      <c r="L560" s="89">
        <f t="shared" si="43"/>
        <v>7387116.7400000021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f>52286.27+0.01+1618603.58</f>
        <v>1670889.86</v>
      </c>
      <c r="G562" s="18">
        <f>29199.45+1010448.02</f>
        <v>1039647.47</v>
      </c>
      <c r="H562" s="18">
        <f>21717.51+4282.5+647.5+86.6</f>
        <v>26734.109999999997</v>
      </c>
      <c r="I562" s="18">
        <f>8689.45</f>
        <v>8689.4500000000007</v>
      </c>
      <c r="J562" s="18">
        <f>34349.1</f>
        <v>34349.1</v>
      </c>
      <c r="K562" s="18"/>
      <c r="L562" s="88">
        <f>SUM(F562:K562)</f>
        <v>2780309.99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>
        <f>20833.5+667539</f>
        <v>688372.5</v>
      </c>
      <c r="G563" s="18">
        <f>11634.54+381937.14</f>
        <v>393571.68</v>
      </c>
      <c r="H563" s="18">
        <f>8653.35+70</f>
        <v>8723.35</v>
      </c>
      <c r="I563" s="18">
        <f>3462.32</f>
        <v>3462.32</v>
      </c>
      <c r="J563" s="18">
        <f>13686.42</f>
        <v>13686.42</v>
      </c>
      <c r="K563" s="18"/>
      <c r="L563" s="88">
        <f>SUM(F563:K563)</f>
        <v>1107816.27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>
        <f>26481.67+874363.94</f>
        <v>900845.61</v>
      </c>
      <c r="G564" s="18">
        <f>14788.78+455402.94</f>
        <v>470191.72000000003</v>
      </c>
      <c r="H564" s="18">
        <f>10999.37+180</f>
        <v>11179.37</v>
      </c>
      <c r="I564" s="18">
        <f>4400.99+872.2+3269.94</f>
        <v>8543.1299999999992</v>
      </c>
      <c r="J564" s="18">
        <f>17396.95</f>
        <v>17396.95</v>
      </c>
      <c r="K564" s="18"/>
      <c r="L564" s="88">
        <f>SUM(F564:K564)</f>
        <v>1408156.78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3260107.97</v>
      </c>
      <c r="G565" s="89">
        <f t="shared" si="44"/>
        <v>1903410.8699999999</v>
      </c>
      <c r="H565" s="89">
        <f t="shared" si="44"/>
        <v>46636.83</v>
      </c>
      <c r="I565" s="89">
        <f t="shared" si="44"/>
        <v>20694.900000000001</v>
      </c>
      <c r="J565" s="89">
        <f t="shared" si="44"/>
        <v>65432.47</v>
      </c>
      <c r="K565" s="89">
        <f t="shared" si="44"/>
        <v>0</v>
      </c>
      <c r="L565" s="89">
        <f t="shared" si="44"/>
        <v>5296283.04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6879051.120000001</v>
      </c>
      <c r="G571" s="89">
        <f t="shared" ref="G571:L571" si="46">G560+G565+G570</f>
        <v>3480745.41</v>
      </c>
      <c r="H571" s="89">
        <f t="shared" si="46"/>
        <v>1095645.1400000001</v>
      </c>
      <c r="I571" s="89">
        <f t="shared" si="46"/>
        <v>386203.55</v>
      </c>
      <c r="J571" s="89">
        <f t="shared" si="46"/>
        <v>839040.83</v>
      </c>
      <c r="K571" s="89">
        <f t="shared" si="46"/>
        <v>2713.73</v>
      </c>
      <c r="L571" s="89">
        <f t="shared" si="46"/>
        <v>12683399.780000001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f>99011.19+478824.53</f>
        <v>577835.72</v>
      </c>
      <c r="G579" s="18">
        <f>50421.46+870227.07</f>
        <v>920648.52999999991</v>
      </c>
      <c r="H579" s="18">
        <f>94158.93+33228+1577521.24</f>
        <v>1704908.17</v>
      </c>
      <c r="I579" s="87">
        <f t="shared" si="47"/>
        <v>3203392.42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>
        <v>5455.99</v>
      </c>
      <c r="H580" s="18"/>
      <c r="I580" s="87">
        <f t="shared" si="47"/>
        <v>5455.99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f>10131.17+655150.91</f>
        <v>665282.08000000007</v>
      </c>
      <c r="G582" s="18">
        <v>476392.96000000002</v>
      </c>
      <c r="H582" s="18">
        <v>1220873.76</v>
      </c>
      <c r="I582" s="87">
        <f t="shared" si="47"/>
        <v>2362548.7999999998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f>9444.8+3727.86+1034441.96+22.75</f>
        <v>1047637.37</v>
      </c>
      <c r="I591" s="18">
        <f>10039.41+3962.55+1099553.58+14.34</f>
        <v>1113569.8800000001</v>
      </c>
      <c r="J591" s="18">
        <f>2934.29+1158.16+321384.92+12.36</f>
        <v>325489.73</v>
      </c>
      <c r="K591" s="104">
        <f t="shared" ref="K591:K597" si="48">SUM(H591:J591)</f>
        <v>2486696.98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f>12417.14+4901.04+1359987.87</f>
        <v>1377306.05</v>
      </c>
      <c r="I592" s="18">
        <f>6334.04+2500.04+693727.83</f>
        <v>702561.90999999992</v>
      </c>
      <c r="J592" s="18">
        <f>6404.35+2527.79+701451.83</f>
        <v>710383.97</v>
      </c>
      <c r="K592" s="104">
        <f t="shared" si="48"/>
        <v>2790251.9299999997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12210.51</v>
      </c>
      <c r="J594" s="18">
        <v>107984.5</v>
      </c>
      <c r="K594" s="104">
        <f t="shared" si="48"/>
        <v>120195.01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386.47</v>
      </c>
      <c r="I595" s="18">
        <v>1568.83</v>
      </c>
      <c r="J595" s="18">
        <f>8892.7+3786.95</f>
        <v>12679.650000000001</v>
      </c>
      <c r="K595" s="104">
        <f t="shared" si="48"/>
        <v>14634.95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>
        <v>370</v>
      </c>
      <c r="K597" s="104">
        <f t="shared" si="48"/>
        <v>370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2425329.89</v>
      </c>
      <c r="I598" s="108">
        <f>SUM(I591:I597)</f>
        <v>1829911.1300000001</v>
      </c>
      <c r="J598" s="108">
        <f>SUM(J591:J597)</f>
        <v>1156907.8499999999</v>
      </c>
      <c r="K598" s="108">
        <f>SUM(K591:K597)</f>
        <v>5412148.8700000001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102289.44-30210.46+761533.74+460920.48+36252.55</f>
        <v>1330785.75</v>
      </c>
      <c r="I604" s="18">
        <f>61373.66-18126.27+238498.05+253112.02+19852.58</f>
        <v>554710.03999999992</v>
      </c>
      <c r="J604" s="18">
        <f>128592.45-37978.87+557711.94+36246.77+378965.3+30210.47</f>
        <v>1093748.0599999998</v>
      </c>
      <c r="K604" s="104">
        <f>SUM(H604:J604)</f>
        <v>2979243.8499999996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1330785.75</v>
      </c>
      <c r="I605" s="108">
        <f>SUM(I602:I604)</f>
        <v>554710.03999999992</v>
      </c>
      <c r="J605" s="108">
        <f>SUM(J602:J604)</f>
        <v>1093748.0599999998</v>
      </c>
      <c r="K605" s="108">
        <f>SUM(K602:K604)</f>
        <v>2979243.8499999996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107989.5</v>
      </c>
      <c r="G611" s="18">
        <v>21516.06</v>
      </c>
      <c r="H611" s="18">
        <f>15160.21+94934.82+34785.96</f>
        <v>144880.99</v>
      </c>
      <c r="I611" s="18">
        <v>62.2</v>
      </c>
      <c r="J611" s="18"/>
      <c r="K611" s="18"/>
      <c r="L611" s="88">
        <f>SUM(F611:K611)</f>
        <v>274448.75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v>41936.639999999999</v>
      </c>
      <c r="G612" s="18">
        <v>8454.74</v>
      </c>
      <c r="H612" s="18">
        <f>5669.09+32682.48+11975.5</f>
        <v>50327.07</v>
      </c>
      <c r="I612" s="18">
        <v>143.84</v>
      </c>
      <c r="J612" s="18"/>
      <c r="K612" s="18"/>
      <c r="L612" s="88">
        <f>SUM(F612:K612)</f>
        <v>100862.29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49181.02</v>
      </c>
      <c r="G613" s="18">
        <v>9963.01</v>
      </c>
      <c r="H613" s="18">
        <f>5523.5+28013.55+10264.71</f>
        <v>43801.760000000002</v>
      </c>
      <c r="I613" s="18">
        <v>304.02</v>
      </c>
      <c r="J613" s="18"/>
      <c r="K613" s="18"/>
      <c r="L613" s="88">
        <f>SUM(F613:K613)</f>
        <v>103249.81000000001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199107.16</v>
      </c>
      <c r="G614" s="108">
        <f t="shared" si="49"/>
        <v>39933.810000000005</v>
      </c>
      <c r="H614" s="108">
        <f t="shared" si="49"/>
        <v>239009.82</v>
      </c>
      <c r="I614" s="108">
        <f t="shared" si="49"/>
        <v>510.06</v>
      </c>
      <c r="J614" s="108">
        <f t="shared" si="49"/>
        <v>0</v>
      </c>
      <c r="K614" s="108">
        <f t="shared" si="49"/>
        <v>0</v>
      </c>
      <c r="L614" s="89">
        <f t="shared" si="49"/>
        <v>478560.85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35870942.379999995</v>
      </c>
      <c r="H617" s="109">
        <f>SUM(F52)</f>
        <v>35870942.380000003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737736.26</v>
      </c>
      <c r="H618" s="109">
        <f>SUM(G52)</f>
        <v>737736.26000000013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2917471.67</v>
      </c>
      <c r="H619" s="109">
        <f>SUM(H52)</f>
        <v>2917471.67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1840682.66</v>
      </c>
      <c r="H621" s="109">
        <f>SUM(J52)</f>
        <v>1840682.66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2067630.71</v>
      </c>
      <c r="H622" s="109">
        <f>F476</f>
        <v>2067630.7099999785</v>
      </c>
      <c r="I622" s="121" t="s">
        <v>101</v>
      </c>
      <c r="J622" s="109">
        <f t="shared" ref="J622:J655" si="50">G622-H622</f>
        <v>2.1420419216156006E-8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120978.42000000001</v>
      </c>
      <c r="H623" s="109">
        <f>G476</f>
        <v>120978.41999999993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1028740.77</v>
      </c>
      <c r="H624" s="109">
        <f>H476</f>
        <v>1028740.7699999996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1840682.66</v>
      </c>
      <c r="H626" s="109">
        <f>J476</f>
        <v>1840682.66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156776047.10000002</v>
      </c>
      <c r="H627" s="104">
        <f>SUM(F468)</f>
        <v>156776047.09999999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5251633.8</v>
      </c>
      <c r="H628" s="104">
        <f>SUM(G468)</f>
        <v>5251633.8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21502308.030000001</v>
      </c>
      <c r="H629" s="104">
        <f>SUM(H468)</f>
        <v>21502308.030000001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586903</v>
      </c>
      <c r="H631" s="104">
        <f>SUM(J468)</f>
        <v>586903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155758952.01999998</v>
      </c>
      <c r="H632" s="104">
        <f>SUM(F472)</f>
        <v>155758952.02000001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21433134.919999998</v>
      </c>
      <c r="H633" s="104">
        <f>SUM(H472)</f>
        <v>21433134.920000002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2320862.02</v>
      </c>
      <c r="H634" s="104">
        <f>I369</f>
        <v>2320862.02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5377415.0700000003</v>
      </c>
      <c r="H635" s="104">
        <f>SUM(G472)</f>
        <v>5377415.0700000003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586903</v>
      </c>
      <c r="H637" s="164">
        <f>SUM(J468)</f>
        <v>586903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1840682.66</v>
      </c>
      <c r="H640" s="104">
        <f>SUM(G461)</f>
        <v>1840682.66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1840682.66</v>
      </c>
      <c r="H642" s="104">
        <f>SUM(I461)</f>
        <v>1840682.66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7007</v>
      </c>
      <c r="H644" s="104">
        <f>H408</f>
        <v>7007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579896</v>
      </c>
      <c r="H645" s="104">
        <f>G408</f>
        <v>579896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586903</v>
      </c>
      <c r="H646" s="104">
        <f>L408</f>
        <v>586903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5412148.8700000001</v>
      </c>
      <c r="H647" s="104">
        <f>L208+L226+L244</f>
        <v>5412148.870000001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2979243.8499999996</v>
      </c>
      <c r="H648" s="104">
        <f>(J257+J338)-(J255+J336)</f>
        <v>2979243.8499999996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2425329.89</v>
      </c>
      <c r="H649" s="104">
        <f>H598</f>
        <v>2425329.89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1829911.1300000001</v>
      </c>
      <c r="H650" s="104">
        <f>I598</f>
        <v>1829911.1300000001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1156907.8500000001</v>
      </c>
      <c r="H651" s="104">
        <f>J598</f>
        <v>1156907.8499999999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579896</v>
      </c>
      <c r="H655" s="104">
        <f>K266+K347</f>
        <v>579896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75815243.609999985</v>
      </c>
      <c r="G660" s="19">
        <f>(L229+L309+L359)</f>
        <v>37193787.119999997</v>
      </c>
      <c r="H660" s="19">
        <f>(L247+L328+L360)</f>
        <v>56119698.459999993</v>
      </c>
      <c r="I660" s="19">
        <f>SUM(F660:H660)</f>
        <v>169128729.19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467137.38532996568</v>
      </c>
      <c r="G661" s="19">
        <f>(L359/IF(SUM(L358:L360)=0,1,SUM(L358:L360))*(SUM(G97:G110)))</f>
        <v>339643.39680609532</v>
      </c>
      <c r="H661" s="19">
        <f>(L360/IF(SUM(L358:L360)=0,1,SUM(L358:L360))*(SUM(G97:G110)))</f>
        <v>368673.05786393874</v>
      </c>
      <c r="I661" s="19">
        <f>SUM(F661:H661)</f>
        <v>1175453.8399999999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2425329.89</v>
      </c>
      <c r="G662" s="19">
        <f>(L226+L306)-(J226+J306)</f>
        <v>1829911.1300000001</v>
      </c>
      <c r="H662" s="19">
        <f>(L244+L325)-(J244+J325)</f>
        <v>1156907.8500000001</v>
      </c>
      <c r="I662" s="19">
        <f>SUM(F662:H662)</f>
        <v>5412148.870000001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2848352.3</v>
      </c>
      <c r="G663" s="199">
        <f>SUM(G575:G587)+SUM(I602:I604)+L612</f>
        <v>2058069.81</v>
      </c>
      <c r="H663" s="199">
        <f>SUM(H575:H587)+SUM(J602:J604)+L613</f>
        <v>4122779.7999999993</v>
      </c>
      <c r="I663" s="19">
        <f>SUM(F663:H663)</f>
        <v>9029201.9099999983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70074424.034670025</v>
      </c>
      <c r="G664" s="19">
        <f>G660-SUM(G661:G663)</f>
        <v>32966162.783193901</v>
      </c>
      <c r="H664" s="19">
        <f>H660-SUM(H661:H663)</f>
        <v>50471337.752136052</v>
      </c>
      <c r="I664" s="19">
        <f>I660-SUM(I661:I663)</f>
        <v>153511924.56999999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6610.63</v>
      </c>
      <c r="G665" s="248">
        <v>3057.94</v>
      </c>
      <c r="H665" s="248">
        <v>4726.42</v>
      </c>
      <c r="I665" s="19">
        <f>SUM(F665:H665)</f>
        <v>14394.99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10600.26</v>
      </c>
      <c r="G667" s="19">
        <f>ROUND(G664/G665,2)</f>
        <v>10780.51</v>
      </c>
      <c r="H667" s="19">
        <f>ROUND(H664/H665,2)</f>
        <v>10678.56</v>
      </c>
      <c r="I667" s="19">
        <f>ROUND(I664/I665,2)</f>
        <v>10664.26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92.51</v>
      </c>
      <c r="I670" s="19">
        <f>SUM(F670:H670)</f>
        <v>92.51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10600.26</v>
      </c>
      <c r="G672" s="19">
        <f>ROUND((G664+G669)/(G665+G670),2)</f>
        <v>10780.51</v>
      </c>
      <c r="H672" s="19">
        <f>ROUND((H664+H669)/(H665+H670),2)</f>
        <v>10473.56</v>
      </c>
      <c r="I672" s="19">
        <f>ROUND((I664+I669)/(I665+I670),2)</f>
        <v>10596.16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fitToHeight="25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11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4" workbookViewId="0">
      <selection activeCell="C31" sqref="C3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Manchester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44334618.810000002</v>
      </c>
      <c r="C9" s="229">
        <f>'DOE25'!G197+'DOE25'!G215+'DOE25'!G233+'DOE25'!G276+'DOE25'!G295+'DOE25'!G314</f>
        <v>19842034.779999997</v>
      </c>
    </row>
    <row r="10" spans="1:3" x14ac:dyDescent="0.2">
      <c r="A10" t="s">
        <v>779</v>
      </c>
      <c r="B10" s="240">
        <f>41947318.33+63210.94</f>
        <v>42010529.269999996</v>
      </c>
      <c r="C10" s="240">
        <f>B10*0.46</f>
        <v>19324843.464199997</v>
      </c>
    </row>
    <row r="11" spans="1:3" x14ac:dyDescent="0.2">
      <c r="A11" t="s">
        <v>780</v>
      </c>
      <c r="B11" s="240">
        <v>55011.6</v>
      </c>
      <c r="C11" s="240">
        <f>C9-C10-C12</f>
        <v>63375.727800000168</v>
      </c>
    </row>
    <row r="12" spans="1:3" x14ac:dyDescent="0.2">
      <c r="A12" t="s">
        <v>781</v>
      </c>
      <c r="B12" s="240">
        <f>44334618.81-42010529.27-55011.6</f>
        <v>2269077.939999999</v>
      </c>
      <c r="C12" s="240">
        <f>B12*0.2</f>
        <v>453815.58799999981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44334618.809999995</v>
      </c>
      <c r="C13" s="231">
        <f>SUM(C10:C12)</f>
        <v>19842034.779999997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23773583.099999998</v>
      </c>
      <c r="C18" s="229">
        <f>'DOE25'!G198+'DOE25'!G216+'DOE25'!G234+'DOE25'!G277+'DOE25'!G296+'DOE25'!G315</f>
        <v>13045394.859999999</v>
      </c>
    </row>
    <row r="19" spans="1:3" x14ac:dyDescent="0.2">
      <c r="A19" t="s">
        <v>779</v>
      </c>
      <c r="B19" s="240">
        <f>7986562.39+98717.7+1425393.19+1123089.23+37529.96+2267044.1+2801105.73+341150.74</f>
        <v>16080593.040000001</v>
      </c>
      <c r="C19" s="240">
        <f>B19*0.46</f>
        <v>7397072.7984000007</v>
      </c>
    </row>
    <row r="20" spans="1:3" x14ac:dyDescent="0.2">
      <c r="A20" t="s">
        <v>780</v>
      </c>
      <c r="B20" s="240">
        <f>4209414.51+132951.84+148576.85+71472.18+18530.3+350342.59+26775.04</f>
        <v>4958063.3099999987</v>
      </c>
      <c r="C20" s="240">
        <f>C18-C19-C21</f>
        <v>5101336.7115999982</v>
      </c>
    </row>
    <row r="21" spans="1:3" x14ac:dyDescent="0.2">
      <c r="A21" t="s">
        <v>781</v>
      </c>
      <c r="B21" s="240">
        <f>23773583.1-16080593.04-4958063.31</f>
        <v>2734926.7500000028</v>
      </c>
      <c r="C21" s="240">
        <f>B21*0.2</f>
        <v>546985.35000000056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23773583.100000005</v>
      </c>
      <c r="C22" s="231">
        <f>SUM(C19:C21)</f>
        <v>13045394.859999999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2454919.9300000002</v>
      </c>
      <c r="C27" s="234">
        <f>'DOE25'!G199+'DOE25'!G217+'DOE25'!G235+'DOE25'!G278+'DOE25'!G297+'DOE25'!G316</f>
        <v>1376828.63</v>
      </c>
    </row>
    <row r="28" spans="1:3" x14ac:dyDescent="0.2">
      <c r="A28" t="s">
        <v>779</v>
      </c>
      <c r="B28" s="240">
        <f>95215.57+223944.06+187602.94+269526.92+347895.52+723925.54+439037.56</f>
        <v>2287148.11</v>
      </c>
      <c r="C28" s="240">
        <f>B28*0.56</f>
        <v>1280802.9416</v>
      </c>
    </row>
    <row r="29" spans="1:3" x14ac:dyDescent="0.2">
      <c r="A29" t="s">
        <v>780</v>
      </c>
      <c r="B29" s="240">
        <v>21186.9</v>
      </c>
      <c r="C29" s="240">
        <f>B29*1.17</f>
        <v>24788.672999999999</v>
      </c>
    </row>
    <row r="30" spans="1:3" x14ac:dyDescent="0.2">
      <c r="A30" t="s">
        <v>781</v>
      </c>
      <c r="B30" s="240">
        <f>2454919.93-2287148.11-21186.9</f>
        <v>146584.9200000003</v>
      </c>
      <c r="C30" s="240">
        <f>C27-C28-C29</f>
        <v>71237.015399999873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2454919.9300000002</v>
      </c>
      <c r="C31" s="231">
        <f>SUM(C28:C30)</f>
        <v>1376828.63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1910702.4</v>
      </c>
      <c r="C36" s="235">
        <f>'DOE25'!G200+'DOE25'!G218+'DOE25'!G236+'DOE25'!G279+'DOE25'!G298+'DOE25'!G317</f>
        <v>440097.33</v>
      </c>
    </row>
    <row r="37" spans="1:3" x14ac:dyDescent="0.2">
      <c r="A37" t="s">
        <v>779</v>
      </c>
      <c r="B37" s="240">
        <v>134758</v>
      </c>
      <c r="C37" s="240">
        <f>B37*0.48</f>
        <v>64683.839999999997</v>
      </c>
    </row>
    <row r="38" spans="1:3" x14ac:dyDescent="0.2">
      <c r="A38" t="s">
        <v>780</v>
      </c>
      <c r="B38" s="240">
        <v>0</v>
      </c>
      <c r="C38" s="240"/>
    </row>
    <row r="39" spans="1:3" x14ac:dyDescent="0.2">
      <c r="A39" t="s">
        <v>781</v>
      </c>
      <c r="B39" s="240">
        <f>1910702.4-134758</f>
        <v>1775944.4</v>
      </c>
      <c r="C39" s="240">
        <f>C36-C37</f>
        <v>375413.49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1910702.4</v>
      </c>
      <c r="C40" s="231">
        <f>SUM(C37:C39)</f>
        <v>440097.32999999996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Manchester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101109397.63999999</v>
      </c>
      <c r="D5" s="20">
        <f>SUM('DOE25'!L197:L200)+SUM('DOE25'!L215:L218)+SUM('DOE25'!L233:L236)-F5-G5</f>
        <v>100807271.92999998</v>
      </c>
      <c r="E5" s="243"/>
      <c r="F5" s="255">
        <f>SUM('DOE25'!J197:J200)+SUM('DOE25'!J215:J218)+SUM('DOE25'!J233:J236)</f>
        <v>76058.53</v>
      </c>
      <c r="G5" s="53">
        <f>SUM('DOE25'!K197:K200)+SUM('DOE25'!K215:K218)+SUM('DOE25'!K233:K236)</f>
        <v>226067.18</v>
      </c>
      <c r="H5" s="259"/>
    </row>
    <row r="6" spans="1:9" x14ac:dyDescent="0.2">
      <c r="A6" s="32">
        <v>2100</v>
      </c>
      <c r="B6" t="s">
        <v>801</v>
      </c>
      <c r="C6" s="245">
        <f t="shared" si="0"/>
        <v>11113281.949999999</v>
      </c>
      <c r="D6" s="20">
        <f>'DOE25'!L202+'DOE25'!L220+'DOE25'!L238-F6-G6</f>
        <v>11113281.949999999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2181647.2500000005</v>
      </c>
      <c r="D7" s="20">
        <f>'DOE25'!L203+'DOE25'!L221+'DOE25'!L239-F7-G7</f>
        <v>2181647.2500000005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688614.44999999984</v>
      </c>
      <c r="D8" s="243"/>
      <c r="E8" s="20">
        <f>'DOE25'!L204+'DOE25'!L222+'DOE25'!L240-F8-G8-D9-D11</f>
        <v>679938.93999999983</v>
      </c>
      <c r="F8" s="255">
        <f>'DOE25'!J204+'DOE25'!J222+'DOE25'!J240</f>
        <v>0</v>
      </c>
      <c r="G8" s="53">
        <f>'DOE25'!K204+'DOE25'!K222+'DOE25'!K240</f>
        <v>8675.51</v>
      </c>
      <c r="H8" s="259"/>
    </row>
    <row r="9" spans="1:9" x14ac:dyDescent="0.2">
      <c r="A9" s="32">
        <v>2310</v>
      </c>
      <c r="B9" t="s">
        <v>818</v>
      </c>
      <c r="C9" s="245">
        <f t="shared" si="0"/>
        <v>275559.89</v>
      </c>
      <c r="D9" s="244">
        <f>192658.54+63499.1+19402.25</f>
        <v>275559.89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89925</v>
      </c>
      <c r="D10" s="243"/>
      <c r="E10" s="244">
        <v>89925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594932.36</v>
      </c>
      <c r="D11" s="244">
        <v>594932.36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9199750.7000000011</v>
      </c>
      <c r="D12" s="20">
        <f>'DOE25'!L205+'DOE25'!L223+'DOE25'!L241-F12-G12</f>
        <v>9116690.1300000008</v>
      </c>
      <c r="E12" s="243"/>
      <c r="F12" s="255">
        <f>'DOE25'!J205+'DOE25'!J223+'DOE25'!J241</f>
        <v>36629</v>
      </c>
      <c r="G12" s="53">
        <f>'DOE25'!K205+'DOE25'!K223+'DOE25'!K241</f>
        <v>46431.57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1241376.6000000001</v>
      </c>
      <c r="D13" s="243"/>
      <c r="E13" s="20">
        <f>'DOE25'!L206+'DOE25'!L224+'DOE25'!L242-F13-G13</f>
        <v>1241226.6000000001</v>
      </c>
      <c r="F13" s="255">
        <f>'DOE25'!J206+'DOE25'!J224+'DOE25'!J242</f>
        <v>0</v>
      </c>
      <c r="G13" s="53">
        <f>'DOE25'!K206+'DOE25'!K224+'DOE25'!K242</f>
        <v>150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9539538.9299999997</v>
      </c>
      <c r="D14" s="20">
        <f>'DOE25'!L207+'DOE25'!L225+'DOE25'!L243-F14-G14</f>
        <v>9476445.9299999997</v>
      </c>
      <c r="E14" s="243"/>
      <c r="F14" s="255">
        <f>'DOE25'!J207+'DOE25'!J225+'DOE25'!J243</f>
        <v>62873</v>
      </c>
      <c r="G14" s="53">
        <f>'DOE25'!K207+'DOE25'!K225+'DOE25'!K243</f>
        <v>220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5412148.870000001</v>
      </c>
      <c r="D15" s="20">
        <f>'DOE25'!L208+'DOE25'!L226+'DOE25'!L244-F15-G15</f>
        <v>5412148.870000001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1640043.02</v>
      </c>
      <c r="D16" s="243"/>
      <c r="E16" s="20">
        <f>'DOE25'!L209+'DOE25'!L227+'DOE25'!L245-F16-G16</f>
        <v>1591879.93</v>
      </c>
      <c r="F16" s="255">
        <f>'DOE25'!J209+'DOE25'!J227+'DOE25'!J245</f>
        <v>48111.58</v>
      </c>
      <c r="G16" s="53">
        <f>'DOE25'!K209+'DOE25'!K227+'DOE25'!K245</f>
        <v>51.510000000000005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12182764.359999999</v>
      </c>
      <c r="D25" s="243"/>
      <c r="E25" s="243"/>
      <c r="F25" s="258"/>
      <c r="G25" s="256"/>
      <c r="H25" s="257">
        <f>'DOE25'!L260+'DOE25'!L261+'DOE25'!L341+'DOE25'!L342</f>
        <v>12182764.359999999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3258883.7500000005</v>
      </c>
      <c r="D29" s="20">
        <f>'DOE25'!L358+'DOE25'!L359+'DOE25'!L360-'DOE25'!I367-F29-G29</f>
        <v>3223150.5300000003</v>
      </c>
      <c r="E29" s="243"/>
      <c r="F29" s="255">
        <f>'DOE25'!J358+'DOE25'!J359+'DOE25'!J360</f>
        <v>35733.22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21288443.389999997</v>
      </c>
      <c r="D31" s="20">
        <f>'DOE25'!L290+'DOE25'!L309+'DOE25'!L328+'DOE25'!L333+'DOE25'!L334+'DOE25'!L335-F31-G31</f>
        <v>18446271.539999999</v>
      </c>
      <c r="E31" s="243"/>
      <c r="F31" s="255">
        <f>'DOE25'!J290+'DOE25'!J309+'DOE25'!J328+'DOE25'!J333+'DOE25'!J334+'DOE25'!J335</f>
        <v>2755571.7399999998</v>
      </c>
      <c r="G31" s="53">
        <f>'DOE25'!K290+'DOE25'!K309+'DOE25'!K328+'DOE25'!K333+'DOE25'!K334+'DOE25'!K335</f>
        <v>86600.11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160647400.37999997</v>
      </c>
      <c r="E33" s="246">
        <f>SUM(E5:E31)</f>
        <v>3602970.4699999997</v>
      </c>
      <c r="F33" s="246">
        <f>SUM(F5:F31)</f>
        <v>3014977.07</v>
      </c>
      <c r="G33" s="246">
        <f>SUM(G5:G31)</f>
        <v>368195.88</v>
      </c>
      <c r="H33" s="246">
        <f>SUM(H5:H31)</f>
        <v>12182764.359999999</v>
      </c>
    </row>
    <row r="35" spans="2:8" ht="12" thickBot="1" x14ac:dyDescent="0.25">
      <c r="B35" s="253" t="s">
        <v>847</v>
      </c>
      <c r="D35" s="254">
        <f>E33</f>
        <v>3602970.4699999997</v>
      </c>
      <c r="E35" s="249"/>
    </row>
    <row r="36" spans="2:8" ht="12" thickTop="1" x14ac:dyDescent="0.2">
      <c r="B36" t="s">
        <v>815</v>
      </c>
      <c r="D36" s="20">
        <f>D33</f>
        <v>160647400.37999997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Manchester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7692938.1199999992</v>
      </c>
      <c r="D8" s="95">
        <f>'DOE25'!G9</f>
        <v>115004.74</v>
      </c>
      <c r="E8" s="95">
        <f>'DOE25'!H9</f>
        <v>1400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1102426.02</v>
      </c>
      <c r="D11" s="95">
        <f>'DOE25'!G12</f>
        <v>0</v>
      </c>
      <c r="E11" s="95">
        <f>'DOE25'!H12</f>
        <v>13821.84</v>
      </c>
      <c r="F11" s="95">
        <f>'DOE25'!I12</f>
        <v>0</v>
      </c>
      <c r="G11" s="95">
        <f>'DOE25'!J12</f>
        <v>579896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26320339.370000001</v>
      </c>
      <c r="D12" s="95">
        <f>'DOE25'!G13</f>
        <v>568317.73</v>
      </c>
      <c r="E12" s="95">
        <f>'DOE25'!H13</f>
        <v>0</v>
      </c>
      <c r="F12" s="95">
        <f>'DOE25'!I13</f>
        <v>0</v>
      </c>
      <c r="G12" s="95">
        <f>'DOE25'!J13</f>
        <v>1260786.6599999999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732983.41</v>
      </c>
      <c r="D13" s="95">
        <f>'DOE25'!G14</f>
        <v>23171.360000000001</v>
      </c>
      <c r="E13" s="95">
        <f>'DOE25'!H14</f>
        <v>2901249.15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31242.43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22255.46</v>
      </c>
      <c r="D16" s="95">
        <f>'DOE25'!G17</f>
        <v>0</v>
      </c>
      <c r="E16" s="95">
        <f>'DOE25'!H17</f>
        <v>1000.68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35870942.379999995</v>
      </c>
      <c r="D18" s="41">
        <f>SUM(D8:D17)</f>
        <v>737736.26</v>
      </c>
      <c r="E18" s="41">
        <f>SUM(E8:E17)</f>
        <v>2917471.67</v>
      </c>
      <c r="F18" s="41">
        <f>SUM(F8:F17)</f>
        <v>0</v>
      </c>
      <c r="G18" s="41">
        <f>SUM(G8:G17)</f>
        <v>1840682.66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530947.66</v>
      </c>
      <c r="E21" s="95">
        <f>'DOE25'!H22</f>
        <v>1151374.3600000001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658029.24</v>
      </c>
      <c r="D23" s="95">
        <f>'DOE25'!G24</f>
        <v>21511.88</v>
      </c>
      <c r="E23" s="95">
        <f>'DOE25'!H24</f>
        <v>273822.37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2868790.73</v>
      </c>
      <c r="D27" s="95">
        <f>'DOE25'!G28</f>
        <v>16946.060000000001</v>
      </c>
      <c r="E27" s="95">
        <f>'DOE25'!H28</f>
        <v>462994.17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1656011.65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28620480.050000001</v>
      </c>
      <c r="D29" s="95">
        <f>'DOE25'!G30</f>
        <v>47352.24</v>
      </c>
      <c r="E29" s="95">
        <f>'DOE25'!H30</f>
        <v>540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33803311.670000002</v>
      </c>
      <c r="D31" s="41">
        <f>SUM(D21:D30)</f>
        <v>616757.84000000008</v>
      </c>
      <c r="E31" s="41">
        <f>SUM(E21:E30)</f>
        <v>1888730.9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31242.43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22255.46</v>
      </c>
      <c r="D35" s="95">
        <f>'DOE25'!G36</f>
        <v>0</v>
      </c>
      <c r="E35" s="95">
        <f>'DOE25'!H36</f>
        <v>1000.68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89735.99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793094.59</v>
      </c>
      <c r="D47" s="95">
        <f>'DOE25'!G48</f>
        <v>0</v>
      </c>
      <c r="E47" s="95">
        <f>'DOE25'!H48</f>
        <v>1027740.09</v>
      </c>
      <c r="F47" s="95">
        <f>'DOE25'!I48</f>
        <v>0</v>
      </c>
      <c r="G47" s="95">
        <f>'DOE25'!J48</f>
        <v>1840682.66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262550.65999999997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989730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2067630.71</v>
      </c>
      <c r="D50" s="41">
        <f>SUM(D34:D49)</f>
        <v>120978.42000000001</v>
      </c>
      <c r="E50" s="41">
        <f>SUM(E34:E49)</f>
        <v>1028740.77</v>
      </c>
      <c r="F50" s="41">
        <f>SUM(F34:F49)</f>
        <v>0</v>
      </c>
      <c r="G50" s="41">
        <f>SUM(G34:G49)</f>
        <v>1840682.66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35870942.380000003</v>
      </c>
      <c r="D51" s="41">
        <f>D50+D31</f>
        <v>737736.26000000013</v>
      </c>
      <c r="E51" s="41">
        <f>E50+E31</f>
        <v>2917471.67</v>
      </c>
      <c r="F51" s="41">
        <f>F50+F31</f>
        <v>0</v>
      </c>
      <c r="G51" s="41">
        <f>G50+G31</f>
        <v>1840682.66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64808687</v>
      </c>
      <c r="D56" s="95">
        <f>'DOE25'!G60</f>
        <v>0</v>
      </c>
      <c r="E56" s="95">
        <f>'DOE25'!H60</f>
        <v>1612783.87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8271495.9800000014</v>
      </c>
      <c r="D57" s="24" t="s">
        <v>289</v>
      </c>
      <c r="E57" s="95">
        <f>'DOE25'!H79</f>
        <v>3858795.48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137541.64000000001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7007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1175453.8399999999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1629299.03</v>
      </c>
      <c r="D61" s="95">
        <f>SUM('DOE25'!G98:G110)</f>
        <v>0</v>
      </c>
      <c r="E61" s="95">
        <f>SUM('DOE25'!H98:H110)</f>
        <v>470182.99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10038336.65</v>
      </c>
      <c r="D62" s="130">
        <f>SUM(D57:D61)</f>
        <v>1175453.8399999999</v>
      </c>
      <c r="E62" s="130">
        <f>SUM(E57:E61)</f>
        <v>4328978.47</v>
      </c>
      <c r="F62" s="130">
        <f>SUM(F57:F61)</f>
        <v>0</v>
      </c>
      <c r="G62" s="130">
        <f>SUM(G57:G61)</f>
        <v>7007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74847023.650000006</v>
      </c>
      <c r="D63" s="22">
        <f>D56+D62</f>
        <v>1175453.8399999999</v>
      </c>
      <c r="E63" s="22">
        <f>E56+E62</f>
        <v>5941762.3399999999</v>
      </c>
      <c r="F63" s="22">
        <f>F56+F62</f>
        <v>0</v>
      </c>
      <c r="G63" s="22">
        <f>G56+G62</f>
        <v>7007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56434129.960000001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20140127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76574256.960000008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2449986.7799999998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393429.1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734177.48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84524.95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3577593.36</v>
      </c>
      <c r="D78" s="130">
        <f>SUM(D72:D77)</f>
        <v>84524.95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80151850.320000008</v>
      </c>
      <c r="D81" s="130">
        <f>SUM(D79:D80)+D78+D70</f>
        <v>84524.95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380151.92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1639092.1</v>
      </c>
      <c r="D88" s="95">
        <f>SUM('DOE25'!G153:G161)</f>
        <v>3611503.09</v>
      </c>
      <c r="E88" s="95">
        <f>SUM('DOE25'!H153:H161)</f>
        <v>15560545.690000001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1639092.1</v>
      </c>
      <c r="D91" s="131">
        <f>SUM(D85:D90)</f>
        <v>3991655.01</v>
      </c>
      <c r="E91" s="131">
        <f>SUM(E85:E90)</f>
        <v>15560545.690000001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579896</v>
      </c>
    </row>
    <row r="97" spans="1:7" x14ac:dyDescent="0.2">
      <c r="A97" t="s">
        <v>758</v>
      </c>
      <c r="B97" s="32" t="s">
        <v>188</v>
      </c>
      <c r="C97" s="95">
        <f>SUM('DOE25'!F180:F181)</f>
        <v>138081.03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138081.03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579896</v>
      </c>
    </row>
    <row r="104" spans="1:7" ht="12.75" thickTop="1" thickBot="1" x14ac:dyDescent="0.25">
      <c r="A104" s="33" t="s">
        <v>765</v>
      </c>
      <c r="C104" s="86">
        <f>C63+C81+C91+C103</f>
        <v>156776047.10000002</v>
      </c>
      <c r="D104" s="86">
        <f>D63+D81+D91+D103</f>
        <v>5251633.8</v>
      </c>
      <c r="E104" s="86">
        <f>E63+E81+E91+E103</f>
        <v>21502308.030000001</v>
      </c>
      <c r="F104" s="86">
        <f>F63+F81+F91+F103</f>
        <v>0</v>
      </c>
      <c r="G104" s="86">
        <f>G63+G81+G103</f>
        <v>586903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63624078.570000008</v>
      </c>
      <c r="D109" s="24" t="s">
        <v>289</v>
      </c>
      <c r="E109" s="95">
        <f>('DOE25'!L276)+('DOE25'!L295)+('DOE25'!L314)</f>
        <v>1695457.3199999998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31540557.039999995</v>
      </c>
      <c r="D110" s="24" t="s">
        <v>289</v>
      </c>
      <c r="E110" s="95">
        <f>('DOE25'!L277)+('DOE25'!L296)+('DOE25'!L315)</f>
        <v>14173516.169999998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3831339.88</v>
      </c>
      <c r="D111" s="24" t="s">
        <v>289</v>
      </c>
      <c r="E111" s="95">
        <f>('DOE25'!L278)+('DOE25'!L297)+('DOE25'!L316)</f>
        <v>412702.44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2113422.15</v>
      </c>
      <c r="D112" s="24" t="s">
        <v>289</v>
      </c>
      <c r="E112" s="95">
        <f>+('DOE25'!L279)+('DOE25'!L298)+('DOE25'!L317)</f>
        <v>1124934.76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6610.5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533420.92999999993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101109397.64</v>
      </c>
      <c r="D115" s="86">
        <f>SUM(D109:D114)</f>
        <v>0</v>
      </c>
      <c r="E115" s="86">
        <f>SUM(E109:E114)</f>
        <v>17946642.119999997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11113281.949999999</v>
      </c>
      <c r="D118" s="24" t="s">
        <v>289</v>
      </c>
      <c r="E118" s="95">
        <f>+('DOE25'!L281)+('DOE25'!L300)+('DOE25'!L319)</f>
        <v>803768.73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2181647.2500000005</v>
      </c>
      <c r="D119" s="24" t="s">
        <v>289</v>
      </c>
      <c r="E119" s="95">
        <f>+('DOE25'!L282)+('DOE25'!L301)+('DOE25'!L320)</f>
        <v>328797.13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1559106.6999999997</v>
      </c>
      <c r="D120" s="24" t="s">
        <v>289</v>
      </c>
      <c r="E120" s="95">
        <f>+('DOE25'!L283)+('DOE25'!L302)+('DOE25'!L321)</f>
        <v>341689.93000000005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9199750.7000000011</v>
      </c>
      <c r="D121" s="24" t="s">
        <v>289</v>
      </c>
      <c r="E121" s="95">
        <f>+('DOE25'!L284)+('DOE25'!L303)+('DOE25'!L322)</f>
        <v>8802.52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1241376.6000000001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9539538.9299999997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5412148.870000001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1640043.02</v>
      </c>
      <c r="D125" s="24" t="s">
        <v>289</v>
      </c>
      <c r="E125" s="95">
        <f>+('DOE25'!L288)+('DOE25'!L307)+('DOE25'!L326)</f>
        <v>1865353.46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5377415.0700000003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41886894.020000003</v>
      </c>
      <c r="D128" s="86">
        <f>SUM(D118:D127)</f>
        <v>5377415.0700000003</v>
      </c>
      <c r="E128" s="86">
        <f>SUM(E118:E127)</f>
        <v>3348411.77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6926951.79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5255812.57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138081.03000000003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586903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-7007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12762660.359999999</v>
      </c>
      <c r="D144" s="141">
        <f>SUM(D130:D143)</f>
        <v>0</v>
      </c>
      <c r="E144" s="141">
        <f>SUM(E130:E143)</f>
        <v>138081.03000000003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155758952.01999998</v>
      </c>
      <c r="D145" s="86">
        <f>(D115+D128+D144)</f>
        <v>5377415.0700000003</v>
      </c>
      <c r="E145" s="86">
        <f>(E115+E128+E144)</f>
        <v>21433134.919999998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topLeftCell="A4"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Manchester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10600</v>
      </c>
    </row>
    <row r="5" spans="1:4" x14ac:dyDescent="0.2">
      <c r="B5" t="s">
        <v>704</v>
      </c>
      <c r="C5" s="179">
        <f>IF('DOE25'!G665+'DOE25'!G670=0,0,ROUND('DOE25'!G672,0))</f>
        <v>10781</v>
      </c>
    </row>
    <row r="6" spans="1:4" x14ac:dyDescent="0.2">
      <c r="B6" t="s">
        <v>62</v>
      </c>
      <c r="C6" s="179">
        <f>IF('DOE25'!H665+'DOE25'!H670=0,0,ROUND('DOE25'!H672,0))</f>
        <v>10474</v>
      </c>
    </row>
    <row r="7" spans="1:4" x14ac:dyDescent="0.2">
      <c r="B7" t="s">
        <v>705</v>
      </c>
      <c r="C7" s="179">
        <f>IF('DOE25'!I665+'DOE25'!I670=0,0,ROUND('DOE25'!I672,0))</f>
        <v>10596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65319536</v>
      </c>
      <c r="D10" s="182">
        <f>ROUND((C10/$C$28)*100,1)</f>
        <v>37.6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45714073</v>
      </c>
      <c r="D11" s="182">
        <f>ROUND((C11/$C$28)*100,1)</f>
        <v>26.3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4244042</v>
      </c>
      <c r="D12" s="182">
        <f>ROUND((C12/$C$28)*100,1)</f>
        <v>2.4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3238357</v>
      </c>
      <c r="D13" s="182">
        <f>ROUND((C13/$C$28)*100,1)</f>
        <v>1.9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11917051</v>
      </c>
      <c r="D15" s="182">
        <f t="shared" ref="D15:D27" si="0">ROUND((C15/$C$28)*100,1)</f>
        <v>6.9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2510444</v>
      </c>
      <c r="D16" s="182">
        <f t="shared" si="0"/>
        <v>1.4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5406193</v>
      </c>
      <c r="D17" s="182">
        <f t="shared" si="0"/>
        <v>3.1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9208553</v>
      </c>
      <c r="D18" s="182">
        <f t="shared" si="0"/>
        <v>5.3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1241377</v>
      </c>
      <c r="D19" s="182">
        <f t="shared" si="0"/>
        <v>0.7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9539539</v>
      </c>
      <c r="D20" s="182">
        <f t="shared" si="0"/>
        <v>5.5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5412149</v>
      </c>
      <c r="D21" s="182">
        <f t="shared" si="0"/>
        <v>3.1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6611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533421</v>
      </c>
      <c r="D24" s="182">
        <f t="shared" si="0"/>
        <v>0.3</v>
      </c>
    </row>
    <row r="25" spans="1:4" x14ac:dyDescent="0.2">
      <c r="A25">
        <v>5120</v>
      </c>
      <c r="B25" t="s">
        <v>720</v>
      </c>
      <c r="C25" s="179">
        <f>ROUND('DOE25'!L261+'DOE25'!L342,0)</f>
        <v>5255813</v>
      </c>
      <c r="D25" s="182">
        <f t="shared" si="0"/>
        <v>3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4201961.16</v>
      </c>
      <c r="D27" s="182">
        <f t="shared" si="0"/>
        <v>2.4</v>
      </c>
    </row>
    <row r="28" spans="1:4" x14ac:dyDescent="0.2">
      <c r="B28" s="187" t="s">
        <v>723</v>
      </c>
      <c r="C28" s="180">
        <f>SUM(C10:C27)</f>
        <v>173749120.16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173749120.16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6926952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66421471</v>
      </c>
      <c r="D35" s="182">
        <f t="shared" ref="D35:D40" si="1">ROUND((C35/$C$41)*100,1)</f>
        <v>36.5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14374321.99000001</v>
      </c>
      <c r="D36" s="182">
        <f t="shared" si="1"/>
        <v>7.9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76574257</v>
      </c>
      <c r="D37" s="182">
        <f t="shared" si="1"/>
        <v>42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3662118</v>
      </c>
      <c r="D38" s="182">
        <f t="shared" si="1"/>
        <v>2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21191293</v>
      </c>
      <c r="D39" s="182">
        <f t="shared" si="1"/>
        <v>11.6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182223460.99000001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Manchester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2014-10-07T23:47:00Z</cp:lastPrinted>
  <dcterms:created xsi:type="dcterms:W3CDTF">1997-12-04T19:04:30Z</dcterms:created>
  <dcterms:modified xsi:type="dcterms:W3CDTF">2014-12-10T17:10:00Z</dcterms:modified>
</cp:coreProperties>
</file>