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2" i="1" l="1"/>
  <c r="H200" i="1"/>
  <c r="H209" i="1" l="1"/>
  <c r="H198" i="1" l="1"/>
  <c r="H197" i="1"/>
  <c r="J96" i="1"/>
  <c r="J468" i="1"/>
  <c r="D9" i="13" l="1"/>
  <c r="G611" i="1"/>
  <c r="F611" i="1"/>
  <c r="F579" i="1"/>
  <c r="H523" i="1"/>
  <c r="H526" i="1"/>
  <c r="I526" i="1"/>
  <c r="G526" i="1"/>
  <c r="F526" i="1"/>
  <c r="G521" i="1"/>
  <c r="F521" i="1"/>
  <c r="H521" i="1"/>
  <c r="F502" i="1"/>
  <c r="F501" i="1"/>
  <c r="F368" i="1"/>
  <c r="I358" i="1"/>
  <c r="G358" i="1"/>
  <c r="H282" i="1"/>
  <c r="G282" i="1"/>
  <c r="F282" i="1"/>
  <c r="G279" i="1"/>
  <c r="F279" i="1"/>
  <c r="G277" i="1"/>
  <c r="J276" i="1"/>
  <c r="I276" i="1"/>
  <c r="G276" i="1"/>
  <c r="I205" i="1"/>
  <c r="I202" i="1"/>
  <c r="H204" i="1"/>
  <c r="H203" i="1"/>
  <c r="H202" i="1"/>
  <c r="G204" i="1"/>
  <c r="G203" i="1"/>
  <c r="G202" i="1"/>
  <c r="G200" i="1"/>
  <c r="G198" i="1"/>
  <c r="F204" i="1"/>
  <c r="F203" i="1"/>
  <c r="F202" i="1"/>
  <c r="F200" i="1"/>
  <c r="F198" i="1"/>
  <c r="H155" i="1"/>
  <c r="G97" i="1"/>
  <c r="F110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C114" i="2" s="1"/>
  <c r="F29" i="13"/>
  <c r="G29" i="13"/>
  <c r="L358" i="1"/>
  <c r="D127" i="2" s="1"/>
  <c r="D128" i="2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E110" i="2" s="1"/>
  <c r="L278" i="1"/>
  <c r="L279" i="1"/>
  <c r="L281" i="1"/>
  <c r="L282" i="1"/>
  <c r="E119" i="2" s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H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I665" i="1"/>
  <c r="I670" i="1"/>
  <c r="L229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E31" i="2" s="1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E114" i="2"/>
  <c r="D115" i="2"/>
  <c r="F115" i="2"/>
  <c r="G115" i="2"/>
  <c r="E118" i="2"/>
  <c r="C119" i="2"/>
  <c r="E120" i="2"/>
  <c r="E121" i="2"/>
  <c r="C122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H639" i="1" s="1"/>
  <c r="G461" i="1"/>
  <c r="H640" i="1" s="1"/>
  <c r="H461" i="1"/>
  <c r="I461" i="1"/>
  <c r="F470" i="1"/>
  <c r="G470" i="1"/>
  <c r="H470" i="1"/>
  <c r="I470" i="1"/>
  <c r="J470" i="1"/>
  <c r="F474" i="1"/>
  <c r="F476" i="1" s="1"/>
  <c r="H622" i="1" s="1"/>
  <c r="G474" i="1"/>
  <c r="G476" i="1" s="1"/>
  <c r="H623" i="1" s="1"/>
  <c r="J623" i="1" s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1" i="1"/>
  <c r="H641" i="1"/>
  <c r="H642" i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L351" i="1"/>
  <c r="A31" i="12"/>
  <c r="C70" i="2"/>
  <c r="D12" i="13"/>
  <c r="C12" i="13" s="1"/>
  <c r="D18" i="13"/>
  <c r="C18" i="13" s="1"/>
  <c r="D7" i="13"/>
  <c r="C7" i="13" s="1"/>
  <c r="D17" i="13"/>
  <c r="C17" i="13" s="1"/>
  <c r="C91" i="2"/>
  <c r="F78" i="2"/>
  <c r="F81" i="2" s="1"/>
  <c r="D31" i="2"/>
  <c r="C78" i="2"/>
  <c r="C81" i="2" s="1"/>
  <c r="D50" i="2"/>
  <c r="F18" i="2"/>
  <c r="G161" i="2"/>
  <c r="E103" i="2"/>
  <c r="D91" i="2"/>
  <c r="E62" i="2"/>
  <c r="E63" i="2" s="1"/>
  <c r="G62" i="2"/>
  <c r="D29" i="13"/>
  <c r="C29" i="13" s="1"/>
  <c r="D19" i="13"/>
  <c r="C19" i="13" s="1"/>
  <c r="E13" i="13"/>
  <c r="C13" i="13" s="1"/>
  <c r="E78" i="2"/>
  <c r="E81" i="2" s="1"/>
  <c r="L427" i="1"/>
  <c r="J257" i="1"/>
  <c r="J271" i="1" s="1"/>
  <c r="H112" i="1"/>
  <c r="J641" i="1"/>
  <c r="K605" i="1"/>
  <c r="G648" i="1" s="1"/>
  <c r="J571" i="1"/>
  <c r="K571" i="1"/>
  <c r="L433" i="1"/>
  <c r="L419" i="1"/>
  <c r="D81" i="2"/>
  <c r="I169" i="1"/>
  <c r="G552" i="1"/>
  <c r="J643" i="1"/>
  <c r="I476" i="1"/>
  <c r="H625" i="1" s="1"/>
  <c r="J625" i="1" s="1"/>
  <c r="F169" i="1"/>
  <c r="J140" i="1"/>
  <c r="F571" i="1"/>
  <c r="I552" i="1"/>
  <c r="K550" i="1"/>
  <c r="G22" i="2"/>
  <c r="K545" i="1"/>
  <c r="C29" i="10"/>
  <c r="H140" i="1"/>
  <c r="L401" i="1"/>
  <c r="C139" i="2" s="1"/>
  <c r="L393" i="1"/>
  <c r="C138" i="2" s="1"/>
  <c r="F22" i="13"/>
  <c r="H571" i="1"/>
  <c r="L560" i="1"/>
  <c r="J545" i="1"/>
  <c r="H338" i="1"/>
  <c r="H352" i="1" s="1"/>
  <c r="G192" i="1"/>
  <c r="H192" i="1"/>
  <c r="L309" i="1"/>
  <c r="E16" i="13"/>
  <c r="C16" i="13" s="1"/>
  <c r="J655" i="1"/>
  <c r="J645" i="1"/>
  <c r="L570" i="1"/>
  <c r="I571" i="1"/>
  <c r="I545" i="1"/>
  <c r="J636" i="1"/>
  <c r="G36" i="2"/>
  <c r="L565" i="1"/>
  <c r="K551" i="1"/>
  <c r="C22" i="13"/>
  <c r="K257" i="1" l="1"/>
  <c r="J640" i="1"/>
  <c r="J639" i="1"/>
  <c r="J476" i="1"/>
  <c r="H626" i="1" s="1"/>
  <c r="J644" i="1"/>
  <c r="C25" i="13"/>
  <c r="H33" i="13"/>
  <c r="C132" i="2"/>
  <c r="C25" i="10"/>
  <c r="K271" i="1"/>
  <c r="L614" i="1"/>
  <c r="K598" i="1"/>
  <c r="G647" i="1" s="1"/>
  <c r="H545" i="1"/>
  <c r="K549" i="1"/>
  <c r="K552" i="1" s="1"/>
  <c r="F552" i="1"/>
  <c r="L524" i="1"/>
  <c r="L545" i="1" s="1"/>
  <c r="K503" i="1"/>
  <c r="J634" i="1"/>
  <c r="H661" i="1"/>
  <c r="L362" i="1"/>
  <c r="G635" i="1" s="1"/>
  <c r="J635" i="1" s="1"/>
  <c r="D145" i="2"/>
  <c r="G661" i="1"/>
  <c r="F661" i="1"/>
  <c r="C19" i="10"/>
  <c r="E128" i="2"/>
  <c r="C16" i="10"/>
  <c r="C13" i="10"/>
  <c r="E115" i="2"/>
  <c r="J338" i="1"/>
  <c r="J352" i="1" s="1"/>
  <c r="L290" i="1"/>
  <c r="L338" i="1" s="1"/>
  <c r="L352" i="1" s="1"/>
  <c r="G633" i="1" s="1"/>
  <c r="J633" i="1" s="1"/>
  <c r="C110" i="2"/>
  <c r="L247" i="1"/>
  <c r="H257" i="1"/>
  <c r="H271" i="1" s="1"/>
  <c r="H660" i="1"/>
  <c r="C10" i="10"/>
  <c r="E8" i="13"/>
  <c r="C8" i="13" s="1"/>
  <c r="H647" i="1"/>
  <c r="D15" i="13"/>
  <c r="C15" i="13" s="1"/>
  <c r="G649" i="1"/>
  <c r="J649" i="1" s="1"/>
  <c r="F662" i="1"/>
  <c r="I662" i="1" s="1"/>
  <c r="C123" i="2"/>
  <c r="C11" i="10"/>
  <c r="C20" i="10"/>
  <c r="D6" i="13"/>
  <c r="C6" i="13" s="1"/>
  <c r="C118" i="2"/>
  <c r="C128" i="2" s="1"/>
  <c r="D5" i="13"/>
  <c r="C5" i="13" s="1"/>
  <c r="C109" i="2"/>
  <c r="C18" i="10"/>
  <c r="C17" i="10"/>
  <c r="L211" i="1"/>
  <c r="C112" i="2"/>
  <c r="C111" i="2"/>
  <c r="F112" i="1"/>
  <c r="C62" i="2"/>
  <c r="C35" i="10"/>
  <c r="C56" i="2"/>
  <c r="J62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I663" i="1"/>
  <c r="J647" i="1" l="1"/>
  <c r="I661" i="1"/>
  <c r="G664" i="1"/>
  <c r="G672" i="1" s="1"/>
  <c r="C5" i="10" s="1"/>
  <c r="H664" i="1"/>
  <c r="H667" i="1" s="1"/>
  <c r="C27" i="10"/>
  <c r="C28" i="10" s="1"/>
  <c r="D19" i="10" s="1"/>
  <c r="E145" i="2"/>
  <c r="D31" i="13"/>
  <c r="C31" i="13" s="1"/>
  <c r="F660" i="1"/>
  <c r="I660" i="1" s="1"/>
  <c r="E33" i="13"/>
  <c r="D35" i="13" s="1"/>
  <c r="L257" i="1"/>
  <c r="L271" i="1" s="1"/>
  <c r="G632" i="1" s="1"/>
  <c r="J632" i="1" s="1"/>
  <c r="C115" i="2"/>
  <c r="C145" i="2" s="1"/>
  <c r="C63" i="2"/>
  <c r="C104" i="2" s="1"/>
  <c r="F193" i="1"/>
  <c r="G627" i="1" s="1"/>
  <c r="J627" i="1" s="1"/>
  <c r="C36" i="10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G667" i="1" l="1"/>
  <c r="I664" i="1"/>
  <c r="I672" i="1" s="1"/>
  <c r="C7" i="10" s="1"/>
  <c r="F664" i="1"/>
  <c r="F667" i="1" s="1"/>
  <c r="H672" i="1"/>
  <c r="C6" i="10" s="1"/>
  <c r="D33" i="13"/>
  <c r="D36" i="13" s="1"/>
  <c r="C30" i="10"/>
  <c r="D13" i="10"/>
  <c r="D18" i="10"/>
  <c r="D24" i="10"/>
  <c r="D21" i="10"/>
  <c r="D27" i="10"/>
  <c r="D26" i="10"/>
  <c r="D16" i="10"/>
  <c r="D10" i="10"/>
  <c r="D17" i="10"/>
  <c r="D22" i="10"/>
  <c r="D20" i="10"/>
  <c r="D11" i="10"/>
  <c r="D12" i="10"/>
  <c r="D23" i="10"/>
  <c r="D15" i="10"/>
  <c r="D25" i="10"/>
  <c r="H656" i="1"/>
  <c r="C41" i="10"/>
  <c r="D38" i="10" s="1"/>
  <c r="I667" i="1" l="1"/>
  <c r="F672" i="1"/>
  <c r="C4" i="10" s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<sst xmlns="http://schemas.openxmlformats.org/spreadsheetml/2006/main" count="3956" uniqueCount="914">
  <si>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</si>
  <si>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</si>
  <si>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</si>
  <si>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</si>
  <si>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</si>
  <si>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</si>
  <si>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</si>
  <si>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</si>
  <si>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</si>
  <si>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</si>
  <si>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</si>
  <si>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</si>
  <si>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</si>
  <si>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</si>
  <si>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</si>
  <si>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</si>
  <si>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</si>
  <si>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</si>
  <si>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</si>
  <si>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</si>
  <si>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</si>
  <si>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</si>
  <si>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</si>
  <si>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</si>
  <si>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</si>
  <si>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</si>
  <si>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</si>
  <si>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</si>
  <si>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</si>
  <si>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</si>
  <si>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</si>
  <si>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</si>
  <si>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</si>
  <si>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</si>
  <si>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</si>
  <si>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</si>
  <si>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</si>
  <si>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</si>
  <si>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</si>
  <si>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</si>
  <si>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</si>
  <si>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</si>
  <si>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</si>
  <si>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</si>
  <si>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</si>
  <si>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</si>
  <si>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</si>
  <si>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</si>
  <si>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</si>
  <si>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</si>
  <si>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</si>
  <si>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</si>
  <si>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</si>
  <si>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</si>
  <si>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</si>
  <si>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</si>
  <si>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</si>
  <si>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</si>
  <si>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</si>
  <si>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</si>
  <si>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</si>
  <si>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</si>
  <si>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</si>
  <si>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</si>
  <si>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</si>
  <si>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</si>
  <si>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</si>
  <si>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</si>
  <si>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</si>
  <si>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</si>
  <si>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</si>
  <si>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</si>
  <si>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</si>
  <si>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</si>
  <si>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</si>
  <si>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</si>
  <si>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</si>
  <si>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</si>
  <si>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</si>
  <si>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</si>
  <si>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</si>
  <si>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</si>
  <si>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</si>
  <si>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</si>
  <si>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</si>
  <si>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</si>
  <si>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</si>
  <si>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</si>
  <si>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</si>
  <si>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</si>
  <si>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</si>
  <si>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</si>
  <si>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</si>
  <si>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</si>
  <si>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</si>
  <si>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</si>
  <si>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</si>
  <si>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</si>
  <si>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</si>
  <si>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</si>
  <si>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</si>
  <si>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</si>
  <si>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</si>
  <si>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</si>
  <si>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</si>
  <si>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</si>
  <si>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</si>
  <si>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</si>
  <si>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</si>
  <si>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</si>
  <si>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</si>
  <si>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</si>
  <si>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</si>
  <si>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</si>
  <si>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</si>
  <si>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</si>
  <si>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</si>
  <si>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</si>
  <si>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</si>
  <si>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</si>
  <si>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</si>
  <si>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</si>
  <si>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</si>
  <si>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</si>
  <si>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</si>
  <si>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</si>
  <si>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</si>
  <si>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</si>
  <si>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</si>
  <si>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</si>
  <si>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</si>
  <si>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</si>
  <si>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</si>
  <si>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</si>
  <si>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</si>
  <si>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</si>
  <si>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</si>
  <si>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</si>
  <si>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</si>
  <si>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</si>
  <si>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</si>
  <si>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</si>
  <si>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</si>
  <si>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</si>
  <si>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</si>
  <si>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</si>
  <si>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</si>
  <si>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</si>
  <si>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</si>
  <si>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</si>
  <si>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</si>
  <si>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</si>
  <si>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</si>
  <si>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</si>
  <si>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</si>
  <si>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</si>
  <si>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</si>
  <si>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</si>
  <si>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</si>
  <si>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</si>
  <si>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</si>
  <si>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</si>
  <si>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</si>
  <si>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</si>
  <si>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</si>
  <si>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</si>
  <si>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</si>
  <si>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</si>
  <si>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</si>
  <si>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</si>
  <si>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</si>
  <si>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</si>
  <si>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</si>
  <si>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</si>
  <si>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</si>
  <si>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</si>
  <si>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</si>
  <si>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</si>
  <si>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</si>
  <si>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</si>
  <si>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</si>
  <si>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</si>
  <si>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</si>
  <si>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</si>
  <si>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</si>
  <si>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</si>
  <si>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</si>
  <si>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</si>
  <si>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</si>
  <si>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</si>
  <si>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</si>
  <si>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</si>
  <si>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</si>
  <si>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</si>
  <si>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</si>
  <si>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</si>
  <si>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</si>
  <si>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</si>
  <si>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</si>
  <si>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</si>
  <si>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</si>
  <si>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</si>
  <si>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</si>
  <si>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</si>
  <si>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</si>
  <si>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</si>
  <si>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</si>
  <si>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</si>
  <si>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</si>
  <si>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</si>
  <si>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</si>
  <si>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</si>
  <si>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</si>
  <si>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</si>
  <si>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</si>
  <si>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</si>
  <si>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</si>
  <si>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</si>
  <si>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</si>
  <si>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</si>
  <si>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</si>
  <si>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</si>
  <si>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</si>
  <si>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</si>
  <si>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</si>
  <si>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</si>
  <si>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</si>
  <si>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</si>
  <si>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</si>
  <si>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</si>
  <si>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</si>
  <si>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</si>
  <si>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</si>
  <si>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</si>
  <si>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</si>
  <si>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</si>
  <si>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</si>
  <si>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</si>
  <si>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</si>
  <si>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</si>
  <si>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</si>
  <si>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</si>
  <si>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</si>
  <si>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</si>
  <si>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</si>
  <si>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</si>
  <si>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</si>
  <si>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</si>
  <si>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</si>
  <si>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</si>
  <si>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</si>
  <si>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</si>
  <si>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</si>
  <si>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</si>
  <si>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</si>
  <si>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</si>
  <si>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</si>
  <si>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</si>
  <si>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</si>
  <si>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</si>
  <si>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</si>
  <si>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</si>
  <si>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</si>
  <si>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</si>
  <si>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</si>
  <si>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</si>
  <si>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</si>
  <si>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</si>
  <si>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</si>
  <si>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</si>
  <si>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</si>
  <si>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</si>
  <si>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</si>
  <si>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</si>
  <si>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</si>
  <si>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</si>
  <si>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</si>
  <si>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</si>
  <si>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</si>
  <si>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</si>
  <si>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</si>
  <si>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</si>
  <si>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</si>
  <si>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</si>
  <si>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</si>
  <si>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</si>
  <si>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</si>
  <si>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</si>
  <si>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</si>
  <si>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</si>
  <si>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</si>
  <si>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</si>
  <si>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</si>
  <si>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</si>
  <si>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</si>
  <si>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</si>
  <si>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</si>
  <si>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</si>
  <si>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</si>
  <si>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</si>
  <si>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</si>
  <si>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</si>
  <si>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</si>
  <si>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</si>
  <si>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</si>
  <si>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</si>
  <si>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</si>
  <si>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</si>
  <si>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</si>
  <si>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</si>
  <si>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</si>
  <si>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</si>
  <si>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</si>
  <si>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</si>
  <si>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</si>
  <si>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</si>
  <si>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</si>
  <si>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</si>
  <si>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</si>
  <si>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</si>
  <si>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</si>
  <si>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</si>
  <si>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</si>
  <si>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</si>
  <si>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</si>
  <si>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</si>
  <si>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</si>
  <si>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</si>
  <si>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</si>
  <si>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</si>
  <si>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</si>
  <si>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</si>
  <si>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</si>
  <si>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</si>
  <si>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</si>
  <si>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</si>
  <si>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</si>
  <si>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</si>
  <si>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</si>
  <si>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</si>
  <si>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</si>
  <si>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</si>
  <si>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</si>
  <si>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</si>
  <si>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</si>
  <si>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</si>
  <si>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</si>
  <si>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</si>
  <si>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</si>
  <si>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</si>
  <si>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</si>
  <si>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</si>
  <si>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</si>
  <si>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</si>
  <si>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</si>
  <si>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</si>
  <si>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</si>
  <si>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</si>
  <si>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</si>
  <si>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</si>
  <si>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</si>
  <si>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</si>
  <si>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</si>
  <si>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</si>
  <si>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</si>
  <si>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</si>
  <si>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</si>
  <si>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</si>
  <si>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</si>
  <si>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</si>
  <si>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</si>
  <si>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</si>
  <si>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</si>
  <si>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</si>
  <si>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</si>
  <si>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</si>
  <si>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</si>
  <si>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</si>
  <si>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</si>
  <si>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</si>
  <si>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</si>
  <si>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</si>
  <si>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</si>
  <si>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</si>
  <si>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</si>
  <si>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</si>
  <si>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</si>
  <si>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</si>
  <si>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</si>
  <si>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</si>
  <si>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</si>
  <si>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</si>
  <si>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</si>
  <si>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</si>
  <si>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</si>
  <si>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</si>
  <si>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</si>
  <si>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</si>
  <si>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</si>
  <si>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</si>
  <si>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</si>
  <si>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</si>
  <si>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</si>
  <si>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</si>
  <si>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</si>
  <si>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</si>
  <si>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</si>
  <si>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</si>
  <si>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</si>
  <si>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</si>
  <si>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</si>
  <si>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</si>
  <si>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</si>
  <si>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</si>
  <si>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</si>
  <si>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</si>
  <si>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</si>
  <si>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</si>
  <si>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</si>
  <si>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</si>
  <si>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</si>
  <si>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</si>
  <si>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</si>
  <si>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</si>
  <si>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</si>
  <si>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</si>
  <si>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</si>
  <si>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</si>
  <si>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</si>
  <si>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</si>
  <si>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</si>
  <si>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</si>
  <si>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</si>
  <si>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</si>
  <si>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</si>
  <si>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</si>
  <si>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</si>
  <si>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</si>
  <si>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</si>
  <si>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</si>
  <si>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</si>
  <si>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</si>
  <si>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</si>
  <si>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</si>
  <si>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</si>
  <si>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</si>
  <si>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</si>
  <si>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</si>
  <si>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</si>
  <si>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</si>
  <si>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</si>
  <si>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</si>
  <si>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</si>
  <si>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</si>
  <si>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</si>
  <si>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</si>
  <si>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</si>
  <si>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</si>
  <si>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</si>
  <si>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</si>
  <si>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</si>
  <si>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</si>
  <si>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</si>
  <si>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</si>
  <si>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</si>
  <si>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</si>
  <si>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</si>
  <si>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</si>
  <si>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</si>
  <si>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</si>
  <si>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</si>
  <si>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</si>
  <si>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</si>
  <si>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</si>
  <si>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</si>
  <si>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</si>
  <si>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</si>
  <si>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</si>
  <si>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</si>
  <si>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</si>
  <si>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</si>
  <si>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</si>
  <si>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</si>
  <si>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</si>
  <si>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</si>
  <si>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</si>
  <si>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</si>
  <si>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</si>
  <si>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</si>
  <si>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</si>
  <si>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</si>
  <si>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</si>
  <si>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</si>
  <si>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</si>
  <si>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</si>
  <si>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</si>
  <si>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</si>
  <si>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</si>
  <si>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</si>
  <si>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</si>
  <si>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</si>
  <si>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</si>
  <si>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</si>
  <si>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</si>
  <si>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</si>
  <si>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</si>
  <si>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</si>
  <si>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</si>
  <si>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</si>
  <si>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</si>
  <si>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</si>
  <si>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</si>
  <si>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</si>
  <si>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</si>
  <si>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</si>
  <si>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</si>
  <si>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</si>
  <si>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</si>
  <si>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</si>
  <si>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</si>
  <si>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</si>
  <si>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</si>
  <si>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</si>
  <si>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</si>
  <si>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</si>
  <si>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</si>
  <si>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</si>
  <si>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</si>
  <si>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</si>
  <si>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</si>
  <si>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</si>
  <si>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</si>
  <si>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</si>
  <si>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</si>
  <si>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</si>
  <si>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</si>
  <si>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</si>
  <si>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</si>
  <si>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</si>
  <si>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</si>
  <si>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</si>
  <si>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</si>
  <si>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</si>
  <si>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</si>
  <si>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</si>
  <si>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</si>
  <si>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</si>
  <si>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</si>
  <si>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</si>
  <si>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</si>
  <si>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</si>
  <si>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</si>
  <si>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</si>
  <si>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</si>
  <si>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</si>
  <si>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</si>
  <si>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</si>
  <si>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</si>
  <si>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</si>
  <si>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</si>
  <si>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</si>
  <si>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</si>
  <si>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</si>
  <si>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</si>
  <si>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</si>
  <si>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</si>
  <si>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</si>
  <si>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</si>
  <si>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</si>
  <si>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</si>
  <si>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</si>
  <si>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</si>
  <si>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</si>
  <si>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</si>
  <si>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</si>
  <si>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</si>
  <si>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</si>
  <si>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</si>
  <si>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</si>
  <si>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</si>
  <si>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</si>
  <si>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</si>
  <si>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</si>
  <si>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</si>
  <si>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</si>
  <si>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</si>
  <si>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</si>
  <si>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</si>
  <si>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</si>
  <si>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</si>
  <si>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</si>
  <si>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</si>
  <si>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</si>
  <si>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</si>
  <si>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</si>
  <si>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</si>
  <si>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</si>
  <si>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</si>
  <si>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</si>
  <si>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</si>
  <si>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</si>
  <si>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</si>
  <si>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</si>
  <si>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</si>
  <si>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</si>
  <si>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</si>
  <si>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</si>
  <si>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</si>
  <si>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</si>
  <si>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</si>
  <si>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</si>
  <si>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</si>
  <si>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</si>
  <si>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</si>
  <si>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</si>
  <si>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</si>
  <si>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</si>
  <si>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</si>
  <si>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</si>
  <si>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</si>
  <si>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</si>
  <si>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</si>
  <si>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</si>
  <si>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</si>
  <si>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</si>
  <si>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</si>
  <si>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</si>
  <si>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</si>
  <si>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</si>
  <si>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</si>
  <si>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</si>
  <si>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</si>
  <si>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</si>
  <si>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</si>
  <si>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</si>
  <si>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</si>
  <si>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</si>
  <si>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</si>
  <si>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</si>
  <si>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</si>
  <si>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</si>
  <si>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</si>
  <si>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</si>
  <si>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</si>
  <si>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</si>
  <si>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</si>
  <si>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</si>
  <si>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</si>
  <si>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</si>
  <si>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</si>
  <si>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</si>
  <si>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</si>
  <si>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</si>
  <si>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</si>
  <si>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</si>
  <si>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</si>
  <si>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</si>
  <si>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</si>
  <si>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</si>
  <si>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</si>
  <si>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</si>
  <si>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</si>
  <si>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</si>
  <si>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</si>
  <si>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</si>
  <si>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</si>
  <si>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</si>
  <si>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</si>
  <si>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</si>
  <si>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</si>
  <si>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</si>
  <si>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</si>
  <si>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</si>
  <si>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</si>
  <si>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</si>
  <si>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</si>
  <si>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</si>
  <si>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</si>
  <si>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</si>
  <si>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</si>
  <si>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</si>
  <si>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</si>
  <si>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</si>
  <si>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</si>
  <si>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</si>
  <si>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</si>
  <si>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</si>
  <si>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</si>
  <si>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</si>
  <si>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</si>
  <si>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</si>
  <si>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</si>
  <si>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</si>
  <si>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</si>
  <si>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</si>
  <si>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</si>
  <si>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</si>
  <si>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</si>
  <si>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</si>
  <si>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</si>
  <si>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</si>
  <si>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</si>
  <si>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</si>
  <si>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</si>
  <si>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</si>
  <si>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</si>
  <si>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</si>
  <si>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</si>
  <si>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</si>
  <si>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</si>
  <si>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</si>
  <si>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</si>
  <si>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</si>
  <si>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</si>
  <si>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</si>
  <si>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</si>
  <si>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</si>
  <si>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</si>
  <si>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</si>
  <si>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</si>
  <si>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</si>
  <si>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</si>
  <si>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</si>
  <si>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</si>
  <si>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</si>
  <si>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</si>
  <si>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</si>
  <si>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</si>
  <si>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</si>
  <si>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</si>
  <si>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</si>
  <si>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</si>
  <si>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</si>
  <si>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</si>
  <si>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</si>
  <si>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</si>
  <si>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</si>
  <si>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</si>
  <si>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</si>
  <si>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</si>
  <si>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</si>
  <si>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</si>
  <si>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</si>
  <si>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</si>
  <si>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</si>
  <si>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</si>
  <si>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</si>
  <si>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</si>
  <si>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</si>
  <si>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</si>
  <si>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</si>
  <si>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</si>
  <si>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</si>
  <si>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</si>
  <si>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</si>
  <si>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</si>
  <si>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</si>
  <si>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</si>
  <si>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</si>
  <si>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</si>
  <si>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</si>
  <si>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</si>
  <si>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</si>
  <si>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</si>
  <si>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</si>
  <si>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</si>
  <si>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</si>
  <si>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</si>
  <si>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</si>
  <si>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</si>
  <si>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</si>
  <si>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</si>
  <si>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</si>
  <si>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</si>
  <si>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</si>
  <si>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</si>
  <si>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</si>
  <si>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</si>
  <si>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</si>
  <si>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</si>
  <si>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</si>
  <si>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</si>
  <si>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</si>
  <si>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</si>
  <si>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</si>
  <si>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</si>
  <si>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</si>
  <si>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</si>
  <si>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</si>
  <si>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</si>
  <si>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</si>
  <si>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</si>
  <si>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</si>
  <si>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</si>
  <si>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</si>
  <si>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</si>
  <si>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</si>
  <si>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</si>
  <si>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</si>
  <si>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</si>
  <si>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</si>
  <si>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</si>
  <si>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</si>
  <si>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</si>
  <si>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</si>
  <si>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</si>
  <si>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</si>
  <si>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</si>
  <si>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</si>
  <si>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</si>
  <si>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</si>
  <si>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</si>
  <si>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</si>
  <si>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</si>
  <si>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</si>
  <si>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</si>
  <si>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</si>
  <si>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</si>
  <si>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</si>
  <si>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</si>
  <si>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</si>
  <si>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</si>
  <si>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</si>
  <si>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</si>
  <si>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</si>
  <si>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</si>
  <si>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</si>
  <si>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</si>
  <si>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</si>
  <si>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</si>
  <si>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</si>
  <si>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</si>
  <si>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</si>
  <si>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</si>
  <si>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</si>
  <si>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</si>
  <si>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</si>
  <si>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</si>
  <si>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</si>
  <si>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</si>
  <si>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</si>
  <si>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</si>
  <si>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</si>
  <si>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</si>
  <si>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</si>
  <si>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</si>
  <si>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</si>
  <si>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</si>
  <si>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</si>
  <si>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</si>
  <si>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</si>
  <si>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</si>
  <si>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</si>
  <si>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</si>
  <si>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</si>
  <si>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</si>
  <si>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</si>
  <si>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</si>
  <si>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</si>
  <si>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</si>
  <si>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</si>
  <si>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</si>
  <si>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</si>
  <si>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</si>
  <si>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</si>
  <si>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</si>
  <si>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</si>
  <si>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</si>
  <si>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</si>
  <si>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</si>
  <si>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</si>
  <si>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</si>
  <si>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</si>
  <si>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</si>
  <si>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</si>
  <si>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</si>
  <si>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</si>
  <si>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</si>
  <si>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</si>
  <si>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</si>
  <si>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</si>
  <si>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</si>
  <si>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</si>
  <si>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</si>
  <si>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</si>
  <si>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</si>
  <si>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</si>
  <si>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</si>
  <si>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</si>
  <si>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</si>
  <si>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</si>
  <si>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</si>
  <si>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</si>
  <si>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</si>
  <si>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</si>
  <si>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</si>
  <si>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</si>
  <si>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</si>
  <si>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</si>
  <si>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</si>
  <si>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</si>
  <si>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</si>
  <si>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</si>
  <si>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</si>
  <si>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</si>
  <si>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</si>
  <si>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</si>
  <si>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</si>
  <si>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</si>
  <si>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</si>
  <si>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</si>
  <si>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MARLBOROUGH</t>
  </si>
  <si>
    <t>07/08</t>
  </si>
  <si>
    <t>08/28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</si>
</sst>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selection activeCell="C4" sqref="C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339</v>
      </c>
      <c r="C2" s="21">
        <v>339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61774.62+100-59895.13</f>
        <v>1979.4900000000052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5035.01</v>
      </c>
      <c r="G10" s="18"/>
      <c r="H10" s="18"/>
      <c r="I10" s="18"/>
      <c r="J10" s="67">
        <f>SUM(I440)</f>
        <v>559222.87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1781.47+49099.91</f>
        <v>50881.380000000005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567.73</v>
      </c>
      <c r="G13" s="18">
        <v>4309.92</v>
      </c>
      <c r="H13" s="18">
        <v>55524.11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129.74</v>
      </c>
      <c r="G14" s="18">
        <v>497.74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697.37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59290.720000000016</v>
      </c>
      <c r="G19" s="41">
        <f>SUM(G9:G18)</f>
        <v>4807.66</v>
      </c>
      <c r="H19" s="41">
        <f>SUM(H9:H18)</f>
        <v>55524.11</v>
      </c>
      <c r="I19" s="41">
        <f>SUM(I9:I18)</f>
        <v>0</v>
      </c>
      <c r="J19" s="41">
        <f>SUM(J9:J18)</f>
        <v>559222.87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1781.47</v>
      </c>
      <c r="H22" s="18">
        <v>49099.91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1638.48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5475.89</v>
      </c>
      <c r="G24" s="18"/>
      <c r="H24" s="18">
        <v>2000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9697.36</v>
      </c>
      <c r="G28" s="18">
        <v>1877.75</v>
      </c>
      <c r="H28" s="18">
        <v>4424.2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1148.44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16811.730000000003</v>
      </c>
      <c r="G32" s="41">
        <f>SUM(G22:G31)</f>
        <v>4807.66</v>
      </c>
      <c r="H32" s="41">
        <f>SUM(H22:H31)</f>
        <v>55524.11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697.37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250</v>
      </c>
      <c r="G49" s="18"/>
      <c r="H49" s="18"/>
      <c r="I49" s="18"/>
      <c r="J49" s="13">
        <f>I454</f>
        <v>559222.87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41531.620000000003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42478.990000000005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559222.87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59290.720000000008</v>
      </c>
      <c r="G52" s="41">
        <f>G51+G32</f>
        <v>4807.66</v>
      </c>
      <c r="H52" s="41">
        <f>H51+H32</f>
        <v>55524.11</v>
      </c>
      <c r="I52" s="41">
        <f>I51+I32</f>
        <v>0</v>
      </c>
      <c r="J52" s="41">
        <f>J51+J32</f>
        <v>559222.87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3007799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3007799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23876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23876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124.02</v>
      </c>
      <c r="G96" s="18"/>
      <c r="H96" s="18"/>
      <c r="I96" s="18"/>
      <c r="J96" s="18">
        <f>33.59+22.33</f>
        <v>55.92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19672.76+2651.9+3331.25+1690</f>
        <v>27345.91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52420.800000000003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4931.3+1348.69</f>
        <v>6279.99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58824.81</v>
      </c>
      <c r="G111" s="41">
        <f>SUM(G96:G110)</f>
        <v>27345.91</v>
      </c>
      <c r="H111" s="41">
        <f>SUM(H96:H110)</f>
        <v>0</v>
      </c>
      <c r="I111" s="41">
        <f>SUM(I96:I110)</f>
        <v>0</v>
      </c>
      <c r="J111" s="41">
        <f>SUM(J96:J110)</f>
        <v>55.92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3090499.81</v>
      </c>
      <c r="G112" s="41">
        <f>G60+G111</f>
        <v>27345.91</v>
      </c>
      <c r="H112" s="41">
        <f>H60+H79+H94+H111</f>
        <v>0</v>
      </c>
      <c r="I112" s="41">
        <f>I60+I111</f>
        <v>0</v>
      </c>
      <c r="J112" s="41">
        <f>J60+J111</f>
        <v>55.92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1240755.56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435559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1676314.56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305015.65999999997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14572.78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1095.4100000000001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319588.44</v>
      </c>
      <c r="G136" s="41">
        <f>SUM(G123:G135)</f>
        <v>1095.4100000000001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1995903</v>
      </c>
      <c r="G140" s="41">
        <f>G121+SUM(G136:G137)</f>
        <v>1095.4100000000001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5237.87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38097.440000000002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-34.67+13568.56+10040.13</f>
        <v>23574.019999999997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49111.25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37273.71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4622.8999999999996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4622.8999999999996</v>
      </c>
      <c r="G162" s="41">
        <f>SUM(G150:G161)</f>
        <v>49111.25</v>
      </c>
      <c r="H162" s="41">
        <f>SUM(H150:H161)</f>
        <v>104183.04000000001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4622.8999999999996</v>
      </c>
      <c r="G169" s="41">
        <f>G147+G162+SUM(G163:G168)</f>
        <v>49111.25</v>
      </c>
      <c r="H169" s="41">
        <f>H147+H162+SUM(H163:H168)</f>
        <v>104183.04000000001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31208.39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31208.39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31208.39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5091025.7100000009</v>
      </c>
      <c r="G193" s="47">
        <f>G112+G140+G169+G192</f>
        <v>108760.96000000001</v>
      </c>
      <c r="H193" s="47">
        <f>H112+H140+H169+H192</f>
        <v>104183.04000000001</v>
      </c>
      <c r="I193" s="47">
        <f>I112+I140+I169+I192</f>
        <v>0</v>
      </c>
      <c r="J193" s="47">
        <f>J112+J140+J192</f>
        <v>55.92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966079</v>
      </c>
      <c r="G197" s="18">
        <v>433217.86</v>
      </c>
      <c r="H197" s="18">
        <f>772536.38-766454.38</f>
        <v>6082</v>
      </c>
      <c r="I197" s="18">
        <v>37599.839999999997</v>
      </c>
      <c r="J197" s="18">
        <v>6403.74</v>
      </c>
      <c r="K197" s="18">
        <v>3504.52</v>
      </c>
      <c r="L197" s="19">
        <f>SUM(F197:K197)</f>
        <v>1452886.96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236224.07+20570.65</f>
        <v>256794.72</v>
      </c>
      <c r="G198" s="18">
        <f>88177.78+1653.92</f>
        <v>89831.7</v>
      </c>
      <c r="H198" s="18">
        <f>495857.37-410184.91</f>
        <v>85672.460000000021</v>
      </c>
      <c r="I198" s="18"/>
      <c r="J198" s="18"/>
      <c r="K198" s="18"/>
      <c r="L198" s="19">
        <f>SUM(F198:K198)</f>
        <v>432298.88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9074.98+5735</f>
        <v>14809.98</v>
      </c>
      <c r="G200" s="18">
        <f>1094.23+513.71</f>
        <v>1607.94</v>
      </c>
      <c r="H200" s="18">
        <f>6850.57+1426</f>
        <v>8276.57</v>
      </c>
      <c r="I200" s="18">
        <v>1535.34</v>
      </c>
      <c r="J200" s="18"/>
      <c r="K200" s="18">
        <v>10984.89</v>
      </c>
      <c r="L200" s="19">
        <f>SUM(F200:K200)</f>
        <v>37214.720000000001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39670.28+34877.68+26387</f>
        <v>100934.95999999999</v>
      </c>
      <c r="G202" s="18">
        <f>3189.43+2804.07+2121.5</f>
        <v>8115</v>
      </c>
      <c r="H202" s="18">
        <f>5111.88+130.42+200+61527.36+2075+18188.37</f>
        <v>87233.03</v>
      </c>
      <c r="I202" s="18">
        <f>151.4+859.68+186.78+733.95+170.99</f>
        <v>2102.8000000000002</v>
      </c>
      <c r="J202" s="18">
        <v>270</v>
      </c>
      <c r="K202" s="18">
        <v>159</v>
      </c>
      <c r="L202" s="19">
        <f t="shared" ref="L202:L208" si="0">SUM(F202:K202)</f>
        <v>198814.78999999998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5021.42+43390.88</f>
        <v>48412.299999999996</v>
      </c>
      <c r="G203" s="18">
        <f>1031.38+6215+29079.6</f>
        <v>36325.979999999996</v>
      </c>
      <c r="H203" s="18">
        <f>3013.12</f>
        <v>3013.12</v>
      </c>
      <c r="I203" s="18">
        <v>9770</v>
      </c>
      <c r="J203" s="18">
        <v>759.01</v>
      </c>
      <c r="K203" s="18"/>
      <c r="L203" s="19">
        <f t="shared" si="0"/>
        <v>98280.409999999989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6222+2450</f>
        <v>8672</v>
      </c>
      <c r="G204" s="18">
        <f>499.19+196.49+1000</f>
        <v>1695.68</v>
      </c>
      <c r="H204" s="18">
        <f>182.12+200+8250+5073+200+204583</f>
        <v>218488.12</v>
      </c>
      <c r="I204" s="18">
        <v>1234.3900000000001</v>
      </c>
      <c r="J204" s="18"/>
      <c r="K204" s="18">
        <v>2561.6</v>
      </c>
      <c r="L204" s="19">
        <f t="shared" si="0"/>
        <v>232651.79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144273.43</v>
      </c>
      <c r="G205" s="18">
        <v>51160.05</v>
      </c>
      <c r="H205" s="18">
        <v>3501.82</v>
      </c>
      <c r="I205" s="18">
        <f>2091.58+1173.81</f>
        <v>3265.39</v>
      </c>
      <c r="J205" s="18"/>
      <c r="K205" s="18">
        <v>84</v>
      </c>
      <c r="L205" s="19">
        <f t="shared" si="0"/>
        <v>202284.69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94490.35</v>
      </c>
      <c r="G207" s="18">
        <v>44569.33</v>
      </c>
      <c r="H207" s="18">
        <v>51699.29</v>
      </c>
      <c r="I207" s="18">
        <v>118907.83</v>
      </c>
      <c r="J207" s="18">
        <v>1226.04</v>
      </c>
      <c r="K207" s="18"/>
      <c r="L207" s="19">
        <f t="shared" si="0"/>
        <v>310892.83999999997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98819.99</v>
      </c>
      <c r="I208" s="18"/>
      <c r="J208" s="18"/>
      <c r="K208" s="18"/>
      <c r="L208" s="19">
        <f t="shared" si="0"/>
        <v>98819.99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90.47</v>
      </c>
      <c r="H209" s="18">
        <f>1165.75+7376.72</f>
        <v>8542.4700000000012</v>
      </c>
      <c r="I209" s="18">
        <v>2612.08</v>
      </c>
      <c r="J209" s="18">
        <v>5944</v>
      </c>
      <c r="K209" s="18"/>
      <c r="L209" s="19">
        <f>SUM(F209:K209)</f>
        <v>17189.02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1634466.74</v>
      </c>
      <c r="G211" s="41">
        <f t="shared" si="1"/>
        <v>666614.01</v>
      </c>
      <c r="H211" s="41">
        <f t="shared" si="1"/>
        <v>571328.87</v>
      </c>
      <c r="I211" s="41">
        <f t="shared" si="1"/>
        <v>177027.66999999998</v>
      </c>
      <c r="J211" s="41">
        <f t="shared" si="1"/>
        <v>14602.79</v>
      </c>
      <c r="K211" s="41">
        <f t="shared" si="1"/>
        <v>17294.009999999998</v>
      </c>
      <c r="L211" s="41">
        <f t="shared" si="1"/>
        <v>3081334.09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766454.38</v>
      </c>
      <c r="I233" s="18"/>
      <c r="J233" s="18"/>
      <c r="K233" s="18"/>
      <c r="L233" s="19">
        <f>SUM(F233:K233)</f>
        <v>766454.38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410184.91</v>
      </c>
      <c r="I234" s="18"/>
      <c r="J234" s="18"/>
      <c r="K234" s="18"/>
      <c r="L234" s="19">
        <f>SUM(F234:K234)</f>
        <v>410184.91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28744.36</v>
      </c>
      <c r="I244" s="18"/>
      <c r="J244" s="18"/>
      <c r="K244" s="18"/>
      <c r="L244" s="19">
        <f t="shared" si="4"/>
        <v>28744.36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1205383.6500000001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1205383.6500000001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>
        <v>-1000</v>
      </c>
      <c r="L253" s="19">
        <f t="shared" si="6"/>
        <v>-1000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-1000</v>
      </c>
      <c r="L256" s="41">
        <f>SUM(F256:K256)</f>
        <v>-1000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1634466.74</v>
      </c>
      <c r="G257" s="41">
        <f t="shared" si="8"/>
        <v>666614.01</v>
      </c>
      <c r="H257" s="41">
        <f t="shared" si="8"/>
        <v>1776712.52</v>
      </c>
      <c r="I257" s="41">
        <f t="shared" si="8"/>
        <v>177027.66999999998</v>
      </c>
      <c r="J257" s="41">
        <f t="shared" si="8"/>
        <v>14602.79</v>
      </c>
      <c r="K257" s="41">
        <f t="shared" si="8"/>
        <v>16294.009999999998</v>
      </c>
      <c r="L257" s="41">
        <f t="shared" si="8"/>
        <v>4285717.74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646930.69999999995</v>
      </c>
      <c r="L260" s="19">
        <f>SUM(F260:K260)</f>
        <v>646930.69999999995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170625.55</v>
      </c>
      <c r="L261" s="19">
        <f>SUM(F261:K261)</f>
        <v>170625.55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31208.39</v>
      </c>
      <c r="L263" s="19">
        <f>SUM(F263:K263)</f>
        <v>31208.39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848764.64</v>
      </c>
      <c r="L270" s="41">
        <f t="shared" si="9"/>
        <v>848764.64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1634466.74</v>
      </c>
      <c r="G271" s="42">
        <f t="shared" si="11"/>
        <v>666614.01</v>
      </c>
      <c r="H271" s="42">
        <f t="shared" si="11"/>
        <v>1776712.52</v>
      </c>
      <c r="I271" s="42">
        <f t="shared" si="11"/>
        <v>177027.66999999998</v>
      </c>
      <c r="J271" s="42">
        <f t="shared" si="11"/>
        <v>14602.79</v>
      </c>
      <c r="K271" s="42">
        <f t="shared" si="11"/>
        <v>865058.65</v>
      </c>
      <c r="L271" s="42">
        <f t="shared" si="11"/>
        <v>5134482.38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28651.52</v>
      </c>
      <c r="G276" s="18">
        <f>671.16+38.22+74.59+2120.17+2087.74+111.57</f>
        <v>5103.45</v>
      </c>
      <c r="H276" s="18"/>
      <c r="I276" s="18">
        <f>3242.87+2252.13+1500</f>
        <v>6995</v>
      </c>
      <c r="J276" s="18">
        <f>495+7788</f>
        <v>8283</v>
      </c>
      <c r="K276" s="18"/>
      <c r="L276" s="19">
        <f>SUM(F276:K276)</f>
        <v>49032.97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18095.150000000001</v>
      </c>
      <c r="G277" s="18">
        <f>66.17+1384.24+70.55</f>
        <v>1520.96</v>
      </c>
      <c r="H277" s="18"/>
      <c r="I277" s="18"/>
      <c r="J277" s="18"/>
      <c r="K277" s="18"/>
      <c r="L277" s="19">
        <f>SUM(F277:K277)</f>
        <v>19616.11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4654.84+160</f>
        <v>4814.84</v>
      </c>
      <c r="G279" s="18">
        <f>12.15+354.73+22.66+192.61+0.62+18.13</f>
        <v>600.90000000000009</v>
      </c>
      <c r="H279" s="18"/>
      <c r="I279" s="18"/>
      <c r="J279" s="18"/>
      <c r="K279" s="18"/>
      <c r="L279" s="19">
        <f>SUM(F279:K279)</f>
        <v>5415.74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50</v>
      </c>
      <c r="J281" s="18"/>
      <c r="K281" s="18"/>
      <c r="L281" s="19">
        <f t="shared" ref="L281:L287" si="12">SUM(F281:K281)</f>
        <v>50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6776.48+1875</f>
        <v>8651.48</v>
      </c>
      <c r="G282" s="18">
        <f>518.43+828.35+26.44+143.4+247.8+7.35</f>
        <v>1771.77</v>
      </c>
      <c r="H282" s="18">
        <f>2900+229+10000+2000+3161</f>
        <v>18290</v>
      </c>
      <c r="I282" s="18"/>
      <c r="J282" s="18"/>
      <c r="K282" s="18"/>
      <c r="L282" s="19">
        <f t="shared" si="12"/>
        <v>28713.25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1354.97</v>
      </c>
      <c r="L285" s="19">
        <f t="shared" si="12"/>
        <v>1354.97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60212.989999999991</v>
      </c>
      <c r="G290" s="42">
        <f t="shared" si="13"/>
        <v>8997.08</v>
      </c>
      <c r="H290" s="42">
        <f t="shared" si="13"/>
        <v>18290</v>
      </c>
      <c r="I290" s="42">
        <f t="shared" si="13"/>
        <v>7045</v>
      </c>
      <c r="J290" s="42">
        <f t="shared" si="13"/>
        <v>8283</v>
      </c>
      <c r="K290" s="42">
        <f t="shared" si="13"/>
        <v>1354.97</v>
      </c>
      <c r="L290" s="41">
        <f t="shared" si="13"/>
        <v>104183.04000000001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60212.989999999991</v>
      </c>
      <c r="G338" s="41">
        <f t="shared" si="20"/>
        <v>8997.08</v>
      </c>
      <c r="H338" s="41">
        <f t="shared" si="20"/>
        <v>18290</v>
      </c>
      <c r="I338" s="41">
        <f t="shared" si="20"/>
        <v>7045</v>
      </c>
      <c r="J338" s="41">
        <f t="shared" si="20"/>
        <v>8283</v>
      </c>
      <c r="K338" s="41">
        <f t="shared" si="20"/>
        <v>1354.97</v>
      </c>
      <c r="L338" s="41">
        <f t="shared" si="20"/>
        <v>104183.04000000001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60212.989999999991</v>
      </c>
      <c r="G352" s="41">
        <f>G338</f>
        <v>8997.08</v>
      </c>
      <c r="H352" s="41">
        <f>H338</f>
        <v>18290</v>
      </c>
      <c r="I352" s="41">
        <f>I338</f>
        <v>7045</v>
      </c>
      <c r="J352" s="41">
        <f>J338</f>
        <v>8283</v>
      </c>
      <c r="K352" s="47">
        <f>K338+K351</f>
        <v>1354.97</v>
      </c>
      <c r="L352" s="41">
        <f>L338+L351</f>
        <v>104183.04000000001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39144.839999999997</v>
      </c>
      <c r="G358" s="18">
        <f>18607.46+750.12+39.9+87.29+2734.44+2567.83+801.53</f>
        <v>25588.57</v>
      </c>
      <c r="H358" s="18">
        <v>5500</v>
      </c>
      <c r="I358" s="18">
        <f>1056.38+36486.17+325</f>
        <v>37867.549999999996</v>
      </c>
      <c r="J358" s="18"/>
      <c r="K358" s="18">
        <v>660</v>
      </c>
      <c r="L358" s="13">
        <f>SUM(F358:K358)</f>
        <v>108760.95999999999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39144.839999999997</v>
      </c>
      <c r="G362" s="47">
        <f t="shared" si="22"/>
        <v>25588.57</v>
      </c>
      <c r="H362" s="47">
        <f t="shared" si="22"/>
        <v>5500</v>
      </c>
      <c r="I362" s="47">
        <f t="shared" si="22"/>
        <v>37867.549999999996</v>
      </c>
      <c r="J362" s="47">
        <f t="shared" si="22"/>
        <v>0</v>
      </c>
      <c r="K362" s="47">
        <f t="shared" si="22"/>
        <v>660</v>
      </c>
      <c r="L362" s="47">
        <f t="shared" si="22"/>
        <v>108760.95999999999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36486.17</v>
      </c>
      <c r="G367" s="18"/>
      <c r="H367" s="18"/>
      <c r="I367" s="56">
        <f>SUM(F367:H367)</f>
        <v>36486.17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1056.38+325</f>
        <v>1381.38</v>
      </c>
      <c r="G368" s="63"/>
      <c r="H368" s="63"/>
      <c r="I368" s="56">
        <f>SUM(F368:H368)</f>
        <v>1381.38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37867.549999999996</v>
      </c>
      <c r="G369" s="47">
        <f>SUM(G367:G368)</f>
        <v>0</v>
      </c>
      <c r="H369" s="47">
        <f>SUM(H367:H368)</f>
        <v>0</v>
      </c>
      <c r="I369" s="47">
        <f>SUM(I367:I368)</f>
        <v>37867.549999999996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33.590000000000003</v>
      </c>
      <c r="I389" s="18"/>
      <c r="J389" s="24" t="s">
        <v>289</v>
      </c>
      <c r="K389" s="24" t="s">
        <v>289</v>
      </c>
      <c r="L389" s="56">
        <f t="shared" si="25"/>
        <v>33.590000000000003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33.590000000000003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33.590000000000003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22.33</v>
      </c>
      <c r="I398" s="18"/>
      <c r="J398" s="24" t="s">
        <v>289</v>
      </c>
      <c r="K398" s="24" t="s">
        <v>289</v>
      </c>
      <c r="L398" s="56">
        <f t="shared" si="26"/>
        <v>22.33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22.33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22.33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55.92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55.92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336011.67</v>
      </c>
      <c r="G440" s="18">
        <v>223211.2</v>
      </c>
      <c r="H440" s="18"/>
      <c r="I440" s="56">
        <f t="shared" si="33"/>
        <v>559222.87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336011.67</v>
      </c>
      <c r="G446" s="13">
        <f>SUM(G439:G445)</f>
        <v>223211.2</v>
      </c>
      <c r="H446" s="13">
        <f>SUM(H439:H445)</f>
        <v>0</v>
      </c>
      <c r="I446" s="13">
        <f>SUM(I439:I445)</f>
        <v>559222.87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336011.67</v>
      </c>
      <c r="G454" s="18">
        <v>223211.2</v>
      </c>
      <c r="H454" s="18"/>
      <c r="I454" s="56">
        <f t="shared" ref="I454:I459" si="34">SUM(F454:H454)</f>
        <v>559222.87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336011.67</v>
      </c>
      <c r="G460" s="83">
        <f>SUM(G454:G459)</f>
        <v>223211.2</v>
      </c>
      <c r="H460" s="83">
        <f>SUM(H454:H459)</f>
        <v>0</v>
      </c>
      <c r="I460" s="83">
        <f>SUM(I454:I459)</f>
        <v>559222.87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336011.67</v>
      </c>
      <c r="G461" s="42">
        <f>G452+G460</f>
        <v>223211.2</v>
      </c>
      <c r="H461" s="42">
        <f>H452+H460</f>
        <v>0</v>
      </c>
      <c r="I461" s="42">
        <f>I452+I460</f>
        <v>559222.87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85935.66</v>
      </c>
      <c r="G465" s="18">
        <v>0</v>
      </c>
      <c r="H465" s="18">
        <v>0</v>
      </c>
      <c r="I465" s="18">
        <v>0</v>
      </c>
      <c r="J465" s="18">
        <v>559166.94999999995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5091025.71</v>
      </c>
      <c r="G468" s="18">
        <v>108760.96000000001</v>
      </c>
      <c r="H468" s="18">
        <v>104183.03999999999</v>
      </c>
      <c r="I468" s="18"/>
      <c r="J468" s="18">
        <f>33.59+22.33</f>
        <v>55.92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5091025.71</v>
      </c>
      <c r="G470" s="53">
        <f>SUM(G468:G469)</f>
        <v>108760.96000000001</v>
      </c>
      <c r="H470" s="53">
        <f>SUM(H468:H469)</f>
        <v>104183.03999999999</v>
      </c>
      <c r="I470" s="53">
        <f>SUM(I468:I469)</f>
        <v>0</v>
      </c>
      <c r="J470" s="53">
        <f>SUM(J468:J469)</f>
        <v>55.92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5133056.38+1426</f>
        <v>5134482.38</v>
      </c>
      <c r="G472" s="18">
        <v>108760.96000000001</v>
      </c>
      <c r="H472" s="18">
        <v>104183.03999999999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5134482.38</v>
      </c>
      <c r="G474" s="53">
        <f>SUM(G472:G473)</f>
        <v>108760.96000000001</v>
      </c>
      <c r="H474" s="53">
        <f>SUM(H472:H473)</f>
        <v>104183.03999999999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42478.990000000224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559222.87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10960000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4.33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7572495.2300000004</v>
      </c>
      <c r="G495" s="18"/>
      <c r="H495" s="18"/>
      <c r="I495" s="18"/>
      <c r="J495" s="18"/>
      <c r="K495" s="53">
        <f>SUM(F495:J495)</f>
        <v>7572495.2300000004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646930.69999999995</v>
      </c>
      <c r="G497" s="18"/>
      <c r="H497" s="18"/>
      <c r="I497" s="18"/>
      <c r="J497" s="18"/>
      <c r="K497" s="53">
        <f t="shared" si="35"/>
        <v>646930.69999999995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6925564.5300000003</v>
      </c>
      <c r="G498" s="204"/>
      <c r="H498" s="204"/>
      <c r="I498" s="204"/>
      <c r="J498" s="204"/>
      <c r="K498" s="205">
        <f t="shared" si="35"/>
        <v>6925564.5300000003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5351429.22</v>
      </c>
      <c r="G499" s="18"/>
      <c r="H499" s="18"/>
      <c r="I499" s="18"/>
      <c r="J499" s="18"/>
      <c r="K499" s="53">
        <f t="shared" si="35"/>
        <v>5351429.22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12276993.75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12276993.75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f>476300.82+145097.99</f>
        <v>621398.81000000006</v>
      </c>
      <c r="G501" s="204"/>
      <c r="H501" s="204"/>
      <c r="I501" s="204"/>
      <c r="J501" s="204"/>
      <c r="K501" s="205">
        <f t="shared" si="35"/>
        <v>621398.81000000006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149792.93+49970.76</f>
        <v>199763.69</v>
      </c>
      <c r="G502" s="18"/>
      <c r="H502" s="18"/>
      <c r="I502" s="18"/>
      <c r="J502" s="18"/>
      <c r="K502" s="53">
        <f t="shared" si="35"/>
        <v>199763.69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821162.5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821162.5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130938.98+20105.22+85179.87+18095.15</f>
        <v>254319.22</v>
      </c>
      <c r="G521" s="18">
        <f>46173.04+2003.36+153.9+860.68+17359.48+20706.27+921.05+66.17+1384.24+70.55</f>
        <v>89698.74000000002</v>
      </c>
      <c r="H521" s="18">
        <f>14023+45389.2</f>
        <v>59412.2</v>
      </c>
      <c r="I521" s="18"/>
      <c r="J521" s="18"/>
      <c r="K521" s="18"/>
      <c r="L521" s="88">
        <f>SUM(F521:K521)</f>
        <v>403430.16000000003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410184.91</f>
        <v>410184.91</v>
      </c>
      <c r="I523" s="18"/>
      <c r="J523" s="18"/>
      <c r="K523" s="18"/>
      <c r="L523" s="88">
        <f>SUM(F523:K523)</f>
        <v>410184.91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254319.22</v>
      </c>
      <c r="G524" s="108">
        <f t="shared" ref="G524:L524" si="36">SUM(G521:G523)</f>
        <v>89698.74000000002</v>
      </c>
      <c r="H524" s="108">
        <f t="shared" si="36"/>
        <v>469597.11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813615.07000000007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26387</f>
        <v>26387</v>
      </c>
      <c r="G526" s="18">
        <f>2018.5+103</f>
        <v>2121.5</v>
      </c>
      <c r="H526" s="18">
        <f>1821.88+200+61527.36+2075+17268.36+920.01+10000+2000</f>
        <v>95812.609999999986</v>
      </c>
      <c r="I526" s="18">
        <f>186.78+733.95+170.99</f>
        <v>1091.72</v>
      </c>
      <c r="J526" s="18"/>
      <c r="K526" s="18"/>
      <c r="L526" s="88">
        <f>SUM(F526:K526)</f>
        <v>125412.82999999999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26387</v>
      </c>
      <c r="G529" s="89">
        <f t="shared" ref="G529:L529" si="37">SUM(G526:G528)</f>
        <v>2121.5</v>
      </c>
      <c r="H529" s="89">
        <f t="shared" si="37"/>
        <v>95812.609999999986</v>
      </c>
      <c r="I529" s="89">
        <f t="shared" si="37"/>
        <v>1091.72</v>
      </c>
      <c r="J529" s="89">
        <f t="shared" si="37"/>
        <v>0</v>
      </c>
      <c r="K529" s="89">
        <f t="shared" si="37"/>
        <v>0</v>
      </c>
      <c r="L529" s="89">
        <f t="shared" si="37"/>
        <v>125412.82999999999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23331</v>
      </c>
      <c r="I531" s="18"/>
      <c r="J531" s="18"/>
      <c r="K531" s="18">
        <v>437.29</v>
      </c>
      <c r="L531" s="88">
        <f>SUM(F531:K531)</f>
        <v>23768.29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23331</v>
      </c>
      <c r="I534" s="89">
        <f t="shared" si="38"/>
        <v>0</v>
      </c>
      <c r="J534" s="89">
        <f t="shared" si="38"/>
        <v>0</v>
      </c>
      <c r="K534" s="89">
        <f t="shared" si="38"/>
        <v>437.29</v>
      </c>
      <c r="L534" s="89">
        <f t="shared" si="38"/>
        <v>23768.29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750</v>
      </c>
      <c r="I541" s="18"/>
      <c r="J541" s="18"/>
      <c r="K541" s="18"/>
      <c r="L541" s="88">
        <f>SUM(F541:K541)</f>
        <v>750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750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750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280706.21999999997</v>
      </c>
      <c r="G545" s="89">
        <f t="shared" ref="G545:L545" si="41">G524+G529+G534+G539+G544</f>
        <v>91820.24000000002</v>
      </c>
      <c r="H545" s="89">
        <f t="shared" si="41"/>
        <v>589490.72</v>
      </c>
      <c r="I545" s="89">
        <f t="shared" si="41"/>
        <v>1091.72</v>
      </c>
      <c r="J545" s="89">
        <f t="shared" si="41"/>
        <v>0</v>
      </c>
      <c r="K545" s="89">
        <f t="shared" si="41"/>
        <v>437.29</v>
      </c>
      <c r="L545" s="89">
        <f t="shared" si="41"/>
        <v>963546.19000000006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403430.16000000003</v>
      </c>
      <c r="G549" s="87">
        <f>L526</f>
        <v>125412.82999999999</v>
      </c>
      <c r="H549" s="87">
        <f>L531</f>
        <v>23768.29</v>
      </c>
      <c r="I549" s="87">
        <f>L536</f>
        <v>0</v>
      </c>
      <c r="J549" s="87">
        <f>L541</f>
        <v>750</v>
      </c>
      <c r="K549" s="87">
        <f>SUM(F549:J549)</f>
        <v>553361.28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410184.91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410184.91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813615.07000000007</v>
      </c>
      <c r="G552" s="89">
        <f t="shared" si="42"/>
        <v>125412.82999999999</v>
      </c>
      <c r="H552" s="89">
        <f t="shared" si="42"/>
        <v>23768.29</v>
      </c>
      <c r="I552" s="89">
        <f t="shared" si="42"/>
        <v>0</v>
      </c>
      <c r="J552" s="89">
        <f t="shared" si="42"/>
        <v>750</v>
      </c>
      <c r="K552" s="89">
        <f t="shared" si="42"/>
        <v>963546.19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766454.38</v>
      </c>
      <c r="I575" s="87">
        <f>SUM(F575:H575)</f>
        <v>766454.38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14023+26260.26</f>
        <v>40283.259999999995</v>
      </c>
      <c r="G579" s="18"/>
      <c r="H579" s="18">
        <v>407218.36</v>
      </c>
      <c r="I579" s="87">
        <f t="shared" si="47"/>
        <v>447501.62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45389.2</v>
      </c>
      <c r="G582" s="18"/>
      <c r="H582" s="18">
        <v>2966.55</v>
      </c>
      <c r="I582" s="87">
        <f t="shared" si="47"/>
        <v>48355.75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90444.35</v>
      </c>
      <c r="I591" s="18"/>
      <c r="J591" s="18">
        <v>28744.36</v>
      </c>
      <c r="K591" s="104">
        <f t="shared" ref="K591:K597" si="48">SUM(H591:J591)</f>
        <v>119188.71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750</v>
      </c>
      <c r="I592" s="18"/>
      <c r="J592" s="18"/>
      <c r="K592" s="104">
        <f t="shared" si="48"/>
        <v>750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6235.64</v>
      </c>
      <c r="I594" s="18"/>
      <c r="J594" s="18"/>
      <c r="K594" s="104">
        <f t="shared" si="48"/>
        <v>6235.64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1390</v>
      </c>
      <c r="I595" s="18"/>
      <c r="J595" s="18"/>
      <c r="K595" s="104">
        <f t="shared" si="48"/>
        <v>1390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98819.99</v>
      </c>
      <c r="I598" s="108">
        <f>SUM(I591:I597)</f>
        <v>0</v>
      </c>
      <c r="J598" s="108">
        <f>SUM(J591:J597)</f>
        <v>28744.36</v>
      </c>
      <c r="K598" s="108">
        <f>SUM(K591:K597)</f>
        <v>127564.35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22885.79</v>
      </c>
      <c r="I604" s="18"/>
      <c r="J604" s="18"/>
      <c r="K604" s="104">
        <f>SUM(H604:J604)</f>
        <v>22885.79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22885.79</v>
      </c>
      <c r="I605" s="108">
        <f>SUM(I602:I604)</f>
        <v>0</v>
      </c>
      <c r="J605" s="108">
        <f>SUM(J602:J604)</f>
        <v>0</v>
      </c>
      <c r="K605" s="108">
        <f>SUM(K602:K604)</f>
        <v>22885.79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5735</f>
        <v>5735</v>
      </c>
      <c r="G611" s="18">
        <f>438.75+53.1+21.86</f>
        <v>513.71</v>
      </c>
      <c r="H611" s="18"/>
      <c r="I611" s="18"/>
      <c r="J611" s="18"/>
      <c r="K611" s="18"/>
      <c r="L611" s="88">
        <f>SUM(F611:K611)</f>
        <v>6248.71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5735</v>
      </c>
      <c r="G614" s="108">
        <f t="shared" si="49"/>
        <v>513.71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6248.71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59290.720000000016</v>
      </c>
      <c r="H617" s="109">
        <f>SUM(F52)</f>
        <v>59290.720000000008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4807.66</v>
      </c>
      <c r="H618" s="109">
        <f>SUM(G52)</f>
        <v>4807.66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55524.11</v>
      </c>
      <c r="H619" s="109">
        <f>SUM(H52)</f>
        <v>55524.11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559222.87</v>
      </c>
      <c r="H621" s="109">
        <f>SUM(J52)</f>
        <v>559222.87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42478.990000000005</v>
      </c>
      <c r="H622" s="109">
        <f>F476</f>
        <v>42478.990000000224</v>
      </c>
      <c r="I622" s="121" t="s">
        <v>101</v>
      </c>
      <c r="J622" s="109">
        <f t="shared" ref="J622:J655" si="50">G622-H622</f>
        <v>-2.1827872842550278E-10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559222.87</v>
      </c>
      <c r="H626" s="109">
        <f>J476</f>
        <v>559222.87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5091025.7100000009</v>
      </c>
      <c r="H627" s="104">
        <f>SUM(F468)</f>
        <v>5091025.71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108760.96000000001</v>
      </c>
      <c r="H628" s="104">
        <f>SUM(G468)</f>
        <v>108760.96000000001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104183.04000000001</v>
      </c>
      <c r="H629" s="104">
        <f>SUM(H468)</f>
        <v>104183.03999999999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55.92</v>
      </c>
      <c r="H631" s="104">
        <f>SUM(J468)</f>
        <v>55.92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5134482.38</v>
      </c>
      <c r="H632" s="104">
        <f>SUM(F472)</f>
        <v>5134482.38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104183.04000000001</v>
      </c>
      <c r="H633" s="104">
        <f>SUM(H472)</f>
        <v>104183.03999999999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37867.549999999996</v>
      </c>
      <c r="H634" s="104">
        <f>I369</f>
        <v>37867.549999999996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108760.95999999999</v>
      </c>
      <c r="H635" s="104">
        <f>SUM(G472)</f>
        <v>108760.96000000001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55.92</v>
      </c>
      <c r="H637" s="164">
        <f>SUM(J468)</f>
        <v>55.92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336011.67</v>
      </c>
      <c r="H639" s="104">
        <f>SUM(F461)</f>
        <v>336011.67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223211.2</v>
      </c>
      <c r="H640" s="104">
        <f>SUM(G461)</f>
        <v>223211.2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559222.87</v>
      </c>
      <c r="H642" s="104">
        <f>SUM(I461)</f>
        <v>559222.87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55.92</v>
      </c>
      <c r="H644" s="104">
        <f>H408</f>
        <v>55.92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55.92</v>
      </c>
      <c r="H646" s="104">
        <f>L408</f>
        <v>55.92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127564.35</v>
      </c>
      <c r="H647" s="104">
        <f>L208+L226+L244</f>
        <v>127564.35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22885.79</v>
      </c>
      <c r="H648" s="104">
        <f>(J257+J338)-(J255+J336)</f>
        <v>22885.79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98819.99</v>
      </c>
      <c r="H649" s="104">
        <f>H598</f>
        <v>98819.99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28744.36</v>
      </c>
      <c r="H651" s="104">
        <f>J598</f>
        <v>28744.36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31208.39</v>
      </c>
      <c r="H652" s="104">
        <f>K263+K345</f>
        <v>31208.39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3294278.09</v>
      </c>
      <c r="G660" s="19">
        <f>(L229+L309+L359)</f>
        <v>0</v>
      </c>
      <c r="H660" s="19">
        <f>(L247+L328+L360)</f>
        <v>1205383.6500000001</v>
      </c>
      <c r="I660" s="19">
        <f>SUM(F660:H660)</f>
        <v>4499661.74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27345.91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27345.91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98819.99</v>
      </c>
      <c r="G662" s="19">
        <f>(L226+L306)-(J226+J306)</f>
        <v>0</v>
      </c>
      <c r="H662" s="19">
        <f>(L244+L325)-(J244+J325)</f>
        <v>28744.36</v>
      </c>
      <c r="I662" s="19">
        <f>SUM(F662:H662)</f>
        <v>127564.35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114806.96</v>
      </c>
      <c r="G663" s="199">
        <f>SUM(G575:G587)+SUM(I602:I604)+L612</f>
        <v>0</v>
      </c>
      <c r="H663" s="199">
        <f>SUM(H575:H587)+SUM(J602:J604)+L613</f>
        <v>1176639.29</v>
      </c>
      <c r="I663" s="19">
        <f>SUM(F663:H663)</f>
        <v>1291446.25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3053305.23</v>
      </c>
      <c r="G664" s="19">
        <f>G660-SUM(G661:G663)</f>
        <v>0</v>
      </c>
      <c r="H664" s="19">
        <f>H660-SUM(H661:H663)</f>
        <v>0</v>
      </c>
      <c r="I664" s="19">
        <f>I660-SUM(I661:I663)</f>
        <v>3053305.2300000004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173.67</v>
      </c>
      <c r="G665" s="248"/>
      <c r="H665" s="248"/>
      <c r="I665" s="19">
        <f>SUM(F665:H665)</f>
        <v>173.67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17581.07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17581.07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17581.07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17581.07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MARLBOROUGH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994730.52</v>
      </c>
      <c r="C9" s="229">
        <f>'DOE25'!G197+'DOE25'!G215+'DOE25'!G233+'DOE25'!G276+'DOE25'!G295+'DOE25'!G314</f>
        <v>438321.31</v>
      </c>
    </row>
    <row r="10" spans="1:3" x14ac:dyDescent="0.2">
      <c r="A10" t="s">
        <v>779</v>
      </c>
      <c r="B10" s="240">
        <v>966079</v>
      </c>
      <c r="C10" s="240">
        <v>425696.21</v>
      </c>
    </row>
    <row r="11" spans="1:3" x14ac:dyDescent="0.2">
      <c r="A11" t="s">
        <v>780</v>
      </c>
      <c r="B11" s="240">
        <v>28651.52</v>
      </c>
      <c r="C11" s="240">
        <v>12625.1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994730.52</v>
      </c>
      <c r="C13" s="231">
        <f>SUM(C10:C12)</f>
        <v>438321.31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274889.87</v>
      </c>
      <c r="C18" s="229">
        <f>'DOE25'!G198+'DOE25'!G216+'DOE25'!G234+'DOE25'!G277+'DOE25'!G296+'DOE25'!G315</f>
        <v>91352.66</v>
      </c>
    </row>
    <row r="19" spans="1:3" x14ac:dyDescent="0.2">
      <c r="A19" t="s">
        <v>779</v>
      </c>
      <c r="B19" s="240">
        <v>151509.63</v>
      </c>
      <c r="C19" s="240">
        <v>50350.37</v>
      </c>
    </row>
    <row r="20" spans="1:3" x14ac:dyDescent="0.2">
      <c r="A20" t="s">
        <v>780</v>
      </c>
      <c r="B20" s="240">
        <v>123380.24</v>
      </c>
      <c r="C20" s="240">
        <v>41002.29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274889.87</v>
      </c>
      <c r="C22" s="231">
        <f>SUM(C19:C21)</f>
        <v>91352.66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19624.82</v>
      </c>
      <c r="C36" s="235">
        <f>'DOE25'!G200+'DOE25'!G218+'DOE25'!G236+'DOE25'!G279+'DOE25'!G298+'DOE25'!G317</f>
        <v>2208.84</v>
      </c>
    </row>
    <row r="37" spans="1:3" x14ac:dyDescent="0.2">
      <c r="A37" t="s">
        <v>779</v>
      </c>
      <c r="B37" s="240">
        <v>19464.82</v>
      </c>
      <c r="C37" s="240">
        <v>2190.83</v>
      </c>
    </row>
    <row r="38" spans="1:3" x14ac:dyDescent="0.2">
      <c r="A38" t="s">
        <v>780</v>
      </c>
      <c r="B38" s="240">
        <v>160</v>
      </c>
      <c r="C38" s="240">
        <v>18.010000000000002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19624.82</v>
      </c>
      <c r="C40" s="231">
        <f>SUM(C37:C39)</f>
        <v>2208.84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MARLBOROUGH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3099039.8499999996</v>
      </c>
      <c r="D5" s="20">
        <f>SUM('DOE25'!L197:L200)+SUM('DOE25'!L215:L218)+SUM('DOE25'!L233:L236)-F5-G5</f>
        <v>3078146.6999999993</v>
      </c>
      <c r="E5" s="243"/>
      <c r="F5" s="255">
        <f>SUM('DOE25'!J197:J200)+SUM('DOE25'!J215:J218)+SUM('DOE25'!J233:J236)</f>
        <v>6403.74</v>
      </c>
      <c r="G5" s="53">
        <f>SUM('DOE25'!K197:K200)+SUM('DOE25'!K215:K218)+SUM('DOE25'!K233:K236)</f>
        <v>14489.41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198814.78999999998</v>
      </c>
      <c r="D6" s="20">
        <f>'DOE25'!L202+'DOE25'!L220+'DOE25'!L238-F6-G6</f>
        <v>198385.78999999998</v>
      </c>
      <c r="E6" s="243"/>
      <c r="F6" s="255">
        <f>'DOE25'!J202+'DOE25'!J220+'DOE25'!J238</f>
        <v>270</v>
      </c>
      <c r="G6" s="53">
        <f>'DOE25'!K202+'DOE25'!K220+'DOE25'!K238</f>
        <v>159</v>
      </c>
      <c r="H6" s="259"/>
    </row>
    <row r="7" spans="1:9" x14ac:dyDescent="0.2">
      <c r="A7" s="32">
        <v>2200</v>
      </c>
      <c r="B7" t="s">
        <v>834</v>
      </c>
      <c r="C7" s="245">
        <f t="shared" si="0"/>
        <v>98280.409999999989</v>
      </c>
      <c r="D7" s="20">
        <f>'DOE25'!L203+'DOE25'!L221+'DOE25'!L239-F7-G7</f>
        <v>97521.4</v>
      </c>
      <c r="E7" s="243"/>
      <c r="F7" s="255">
        <f>'DOE25'!J203+'DOE25'!J221+'DOE25'!J239</f>
        <v>759.01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186797</v>
      </c>
      <c r="D8" s="243"/>
      <c r="E8" s="20">
        <f>'DOE25'!L204+'DOE25'!L222+'DOE25'!L240-F8-G8-D9-D11</f>
        <v>184235.4</v>
      </c>
      <c r="F8" s="255">
        <f>'DOE25'!J204+'DOE25'!J222+'DOE25'!J240</f>
        <v>0</v>
      </c>
      <c r="G8" s="53">
        <f>'DOE25'!K204+'DOE25'!K222+'DOE25'!K240</f>
        <v>2561.6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13545.789999999999</v>
      </c>
      <c r="D9" s="244">
        <f>10699.3+200+2646.49</f>
        <v>13545.789999999999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8250</v>
      </c>
      <c r="D10" s="243"/>
      <c r="E10" s="244">
        <v>8250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32309</v>
      </c>
      <c r="D11" s="244">
        <v>32309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202284.69</v>
      </c>
      <c r="D12" s="20">
        <f>'DOE25'!L205+'DOE25'!L223+'DOE25'!L241-F12-G12</f>
        <v>202200.69</v>
      </c>
      <c r="E12" s="243"/>
      <c r="F12" s="255">
        <f>'DOE25'!J205+'DOE25'!J223+'DOE25'!J241</f>
        <v>0</v>
      </c>
      <c r="G12" s="53">
        <f>'DOE25'!K205+'DOE25'!K223+'DOE25'!K241</f>
        <v>84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310892.83999999997</v>
      </c>
      <c r="D14" s="20">
        <f>'DOE25'!L207+'DOE25'!L225+'DOE25'!L243-F14-G14</f>
        <v>309666.8</v>
      </c>
      <c r="E14" s="243"/>
      <c r="F14" s="255">
        <f>'DOE25'!J207+'DOE25'!J225+'DOE25'!J243</f>
        <v>1226.04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127564.35</v>
      </c>
      <c r="D15" s="20">
        <f>'DOE25'!L208+'DOE25'!L226+'DOE25'!L244-F15-G15</f>
        <v>127564.35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17189.02</v>
      </c>
      <c r="D16" s="243"/>
      <c r="E16" s="20">
        <f>'DOE25'!L209+'DOE25'!L227+'DOE25'!L245-F16-G16</f>
        <v>11245.02</v>
      </c>
      <c r="F16" s="255">
        <f>'DOE25'!J209+'DOE25'!J227+'DOE25'!J245</f>
        <v>5944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-1000</v>
      </c>
      <c r="D19" s="20">
        <f>'DOE25'!L253-F19-G19</f>
        <v>0</v>
      </c>
      <c r="E19" s="243"/>
      <c r="F19" s="255">
        <f>'DOE25'!J253</f>
        <v>0</v>
      </c>
      <c r="G19" s="53">
        <f>'DOE25'!K253</f>
        <v>-1000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817556.25</v>
      </c>
      <c r="D25" s="243"/>
      <c r="E25" s="243"/>
      <c r="F25" s="258"/>
      <c r="G25" s="256"/>
      <c r="H25" s="257">
        <f>'DOE25'!L260+'DOE25'!L261+'DOE25'!L341+'DOE25'!L342</f>
        <v>817556.25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72274.789999999994</v>
      </c>
      <c r="D29" s="20">
        <f>'DOE25'!L358+'DOE25'!L359+'DOE25'!L360-'DOE25'!I367-F29-G29</f>
        <v>71614.789999999994</v>
      </c>
      <c r="E29" s="243"/>
      <c r="F29" s="255">
        <f>'DOE25'!J358+'DOE25'!J359+'DOE25'!J360</f>
        <v>0</v>
      </c>
      <c r="G29" s="53">
        <f>'DOE25'!K358+'DOE25'!K359+'DOE25'!K360</f>
        <v>660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104183.04000000001</v>
      </c>
      <c r="D31" s="20">
        <f>'DOE25'!L290+'DOE25'!L309+'DOE25'!L328+'DOE25'!L333+'DOE25'!L334+'DOE25'!L335-F31-G31</f>
        <v>94545.07</v>
      </c>
      <c r="E31" s="243"/>
      <c r="F31" s="255">
        <f>'DOE25'!J290+'DOE25'!J309+'DOE25'!J328+'DOE25'!J333+'DOE25'!J334+'DOE25'!J335</f>
        <v>8283</v>
      </c>
      <c r="G31" s="53">
        <f>'DOE25'!K290+'DOE25'!K309+'DOE25'!K328+'DOE25'!K333+'DOE25'!K334+'DOE25'!K335</f>
        <v>1354.97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4225500.379999999</v>
      </c>
      <c r="E33" s="246">
        <f>SUM(E5:E31)</f>
        <v>203730.41999999998</v>
      </c>
      <c r="F33" s="246">
        <f>SUM(F5:F31)</f>
        <v>22885.79</v>
      </c>
      <c r="G33" s="246">
        <f>SUM(G5:G31)</f>
        <v>18308.98</v>
      </c>
      <c r="H33" s="246">
        <f>SUM(H5:H31)</f>
        <v>817556.25</v>
      </c>
    </row>
    <row r="35" spans="2:8" ht="12" thickBot="1" x14ac:dyDescent="0.25">
      <c r="B35" s="253" t="s">
        <v>847</v>
      </c>
      <c r="D35" s="254">
        <f>E33</f>
        <v>203730.41999999998</v>
      </c>
      <c r="E35" s="249"/>
    </row>
    <row r="36" spans="2:8" ht="12" thickTop="1" x14ac:dyDescent="0.2">
      <c r="B36" t="s">
        <v>815</v>
      </c>
      <c r="D36" s="20">
        <f>D33</f>
        <v>4225500.379999999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MARLBOROUGH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1979.4900000000052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5035.01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559222.87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50881.380000000005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567.73</v>
      </c>
      <c r="D12" s="95">
        <f>'DOE25'!G13</f>
        <v>4309.92</v>
      </c>
      <c r="E12" s="95">
        <f>'DOE25'!H13</f>
        <v>55524.11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129.74</v>
      </c>
      <c r="D13" s="95">
        <f>'DOE25'!G14</f>
        <v>497.74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697.37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59290.720000000016</v>
      </c>
      <c r="D18" s="41">
        <f>SUM(D8:D17)</f>
        <v>4807.66</v>
      </c>
      <c r="E18" s="41">
        <f>SUM(E8:E17)</f>
        <v>55524.11</v>
      </c>
      <c r="F18" s="41">
        <f>SUM(F8:F17)</f>
        <v>0</v>
      </c>
      <c r="G18" s="41">
        <f>SUM(G8:G17)</f>
        <v>559222.87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1781.47</v>
      </c>
      <c r="E21" s="95">
        <f>'DOE25'!H22</f>
        <v>49099.91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1638.48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5475.89</v>
      </c>
      <c r="D23" s="95">
        <f>'DOE25'!G24</f>
        <v>0</v>
      </c>
      <c r="E23" s="95">
        <f>'DOE25'!H24</f>
        <v>2000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9697.36</v>
      </c>
      <c r="D27" s="95">
        <f>'DOE25'!G28</f>
        <v>1877.75</v>
      </c>
      <c r="E27" s="95">
        <f>'DOE25'!H28</f>
        <v>4424.2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1148.44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16811.730000000003</v>
      </c>
      <c r="D31" s="41">
        <f>SUM(D21:D30)</f>
        <v>4807.66</v>
      </c>
      <c r="E31" s="41">
        <f>SUM(E21:E30)</f>
        <v>55524.11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697.37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250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559222.87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41531.620000000003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42478.990000000005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559222.87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59290.720000000008</v>
      </c>
      <c r="D51" s="41">
        <f>D50+D31</f>
        <v>4807.66</v>
      </c>
      <c r="E51" s="41">
        <f>E50+E31</f>
        <v>55524.11</v>
      </c>
      <c r="F51" s="41">
        <f>F50+F31</f>
        <v>0</v>
      </c>
      <c r="G51" s="41">
        <f>G50+G31</f>
        <v>559222.87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3007799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23876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124.02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55.92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27345.91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58700.79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82700.81</v>
      </c>
      <c r="D62" s="130">
        <f>SUM(D57:D61)</f>
        <v>27345.91</v>
      </c>
      <c r="E62" s="130">
        <f>SUM(E57:E61)</f>
        <v>0</v>
      </c>
      <c r="F62" s="130">
        <f>SUM(F57:F61)</f>
        <v>0</v>
      </c>
      <c r="G62" s="130">
        <f>SUM(G57:G61)</f>
        <v>55.92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3090499.81</v>
      </c>
      <c r="D63" s="22">
        <f>D56+D62</f>
        <v>27345.91</v>
      </c>
      <c r="E63" s="22">
        <f>E56+E62</f>
        <v>0</v>
      </c>
      <c r="F63" s="22">
        <f>F56+F62</f>
        <v>0</v>
      </c>
      <c r="G63" s="22">
        <f>G56+G62</f>
        <v>55.92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1240755.56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435559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1676314.56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305015.65999999997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14572.78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1095.4100000000001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319588.44</v>
      </c>
      <c r="D78" s="130">
        <f>SUM(D72:D77)</f>
        <v>1095.4100000000001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1995903</v>
      </c>
      <c r="D81" s="130">
        <f>SUM(D79:D80)+D78+D70</f>
        <v>1095.4100000000001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5237.87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4622.8999999999996</v>
      </c>
      <c r="D88" s="95">
        <f>SUM('DOE25'!G153:G161)</f>
        <v>49111.25</v>
      </c>
      <c r="E88" s="95">
        <f>SUM('DOE25'!H153:H161)</f>
        <v>98945.17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4622.8999999999996</v>
      </c>
      <c r="D91" s="131">
        <f>SUM(D85:D90)</f>
        <v>49111.25</v>
      </c>
      <c r="E91" s="131">
        <f>SUM(E85:E90)</f>
        <v>104183.03999999999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31208.39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31208.39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5091025.7100000009</v>
      </c>
      <c r="D104" s="86">
        <f>D63+D81+D91+D103</f>
        <v>108760.96000000001</v>
      </c>
      <c r="E104" s="86">
        <f>E63+E81+E91+E103</f>
        <v>104183.03999999999</v>
      </c>
      <c r="F104" s="86">
        <f>F63+F81+F91+F103</f>
        <v>0</v>
      </c>
      <c r="G104" s="86">
        <f>G63+G81+G103</f>
        <v>55.92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2219341.34</v>
      </c>
      <c r="D109" s="24" t="s">
        <v>289</v>
      </c>
      <c r="E109" s="95">
        <f>('DOE25'!L276)+('DOE25'!L295)+('DOE25'!L314)</f>
        <v>49032.97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842483.79</v>
      </c>
      <c r="D110" s="24" t="s">
        <v>289</v>
      </c>
      <c r="E110" s="95">
        <f>('DOE25'!L277)+('DOE25'!L296)+('DOE25'!L315)</f>
        <v>19616.11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37214.720000000001</v>
      </c>
      <c r="D112" s="24" t="s">
        <v>289</v>
      </c>
      <c r="E112" s="95">
        <f>+('DOE25'!L279)+('DOE25'!L298)+('DOE25'!L317)</f>
        <v>5415.74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-1000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3098039.85</v>
      </c>
      <c r="D115" s="86">
        <f>SUM(D109:D114)</f>
        <v>0</v>
      </c>
      <c r="E115" s="86">
        <f>SUM(E109:E114)</f>
        <v>74064.820000000007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198814.78999999998</v>
      </c>
      <c r="D118" s="24" t="s">
        <v>289</v>
      </c>
      <c r="E118" s="95">
        <f>+('DOE25'!L281)+('DOE25'!L300)+('DOE25'!L319)</f>
        <v>50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98280.409999999989</v>
      </c>
      <c r="D119" s="24" t="s">
        <v>289</v>
      </c>
      <c r="E119" s="95">
        <f>+('DOE25'!L282)+('DOE25'!L301)+('DOE25'!L320)</f>
        <v>28713.25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232651.79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202284.69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1354.97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310892.83999999997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127564.35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17189.02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108760.95999999999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1187677.8899999999</v>
      </c>
      <c r="D128" s="86">
        <f>SUM(D118:D127)</f>
        <v>108760.95999999999</v>
      </c>
      <c r="E128" s="86">
        <f>SUM(E118:E127)</f>
        <v>30118.22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646930.69999999995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170625.55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31208.39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33.590000000000003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22.33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-55.92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848764.6399999999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5134482.38</v>
      </c>
      <c r="D145" s="86">
        <f>(D115+D128+D144)</f>
        <v>108760.95999999999</v>
      </c>
      <c r="E145" s="86">
        <f>(E115+E128+E144)</f>
        <v>104183.04000000001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10960000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4.33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7572495.2300000004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7572495.2300000004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646930.69999999995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646930.69999999995</v>
      </c>
    </row>
    <row r="159" spans="1:9" x14ac:dyDescent="0.2">
      <c r="A159" s="22" t="s">
        <v>35</v>
      </c>
      <c r="B159" s="137">
        <f>'DOE25'!F498</f>
        <v>6925564.5300000003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6925564.5300000003</v>
      </c>
    </row>
    <row r="160" spans="1:9" x14ac:dyDescent="0.2">
      <c r="A160" s="22" t="s">
        <v>36</v>
      </c>
      <c r="B160" s="137">
        <f>'DOE25'!F499</f>
        <v>5351429.22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5351429.22</v>
      </c>
    </row>
    <row r="161" spans="1:7" x14ac:dyDescent="0.2">
      <c r="A161" s="22" t="s">
        <v>37</v>
      </c>
      <c r="B161" s="137">
        <f>'DOE25'!F500</f>
        <v>12276993.75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12276993.75</v>
      </c>
    </row>
    <row r="162" spans="1:7" x14ac:dyDescent="0.2">
      <c r="A162" s="22" t="s">
        <v>38</v>
      </c>
      <c r="B162" s="137">
        <f>'DOE25'!F501</f>
        <v>621398.81000000006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621398.81000000006</v>
      </c>
    </row>
    <row r="163" spans="1:7" x14ac:dyDescent="0.2">
      <c r="A163" s="22" t="s">
        <v>39</v>
      </c>
      <c r="B163" s="137">
        <f>'DOE25'!F502</f>
        <v>199763.69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199763.69</v>
      </c>
    </row>
    <row r="164" spans="1:7" x14ac:dyDescent="0.2">
      <c r="A164" s="22" t="s">
        <v>246</v>
      </c>
      <c r="B164" s="137">
        <f>'DOE25'!F503</f>
        <v>821162.5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821162.5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MARLBOROUGH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17581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17581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2268374</v>
      </c>
      <c r="D10" s="182">
        <f>ROUND((C10/$C$28)*100,1)</f>
        <v>48.9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862100</v>
      </c>
      <c r="D11" s="182">
        <f>ROUND((C11/$C$28)*100,1)</f>
        <v>18.600000000000001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42630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198865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126994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249841</v>
      </c>
      <c r="D17" s="182">
        <f t="shared" si="0"/>
        <v>5.4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202285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1355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310893</v>
      </c>
      <c r="D20" s="182">
        <f t="shared" si="0"/>
        <v>6.7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127564</v>
      </c>
      <c r="D21" s="182">
        <f t="shared" si="0"/>
        <v>2.7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-1000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170626</v>
      </c>
      <c r="D25" s="182">
        <f t="shared" si="0"/>
        <v>3.7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81415.09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4641942.09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4641942.09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646931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3007799</v>
      </c>
      <c r="D35" s="182">
        <f t="shared" ref="D35:D40" si="1">ROUND((C35/$C$41)*100,1)</f>
        <v>57.3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82756.729999999981</v>
      </c>
      <c r="D36" s="182">
        <f t="shared" si="1"/>
        <v>1.6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1676315</v>
      </c>
      <c r="D37" s="182">
        <f t="shared" si="1"/>
        <v>32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320684</v>
      </c>
      <c r="D38" s="182">
        <f t="shared" si="1"/>
        <v>6.1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157917</v>
      </c>
      <c r="D39" s="182">
        <f t="shared" si="1"/>
        <v>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5245471.7300000004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MARLBOROUGH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2014-09-29T17:25:09Z</cp:lastPrinted>
  <dcterms:created xsi:type="dcterms:W3CDTF">1997-12-04T19:04:30Z</dcterms:created>
  <dcterms:modified xsi:type="dcterms:W3CDTF">2014-09-29T17:25:12Z</dcterms:modified>
</cp:coreProperties>
</file>