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G440" i="1" l="1"/>
  <c r="J96" i="1"/>
  <c r="H526" i="1"/>
  <c r="I521" i="1"/>
  <c r="G521" i="1"/>
  <c r="F521" i="1"/>
  <c r="H204" i="1"/>
  <c r="H202" i="1"/>
  <c r="G204" i="1"/>
  <c r="F472" i="1"/>
  <c r="K285" i="1"/>
  <c r="H282" i="1"/>
  <c r="G282" i="1"/>
  <c r="I281" i="1"/>
  <c r="H281" i="1"/>
  <c r="J276" i="1"/>
  <c r="I276" i="1"/>
  <c r="G276" i="1"/>
  <c r="F276" i="1"/>
  <c r="H226" i="1"/>
  <c r="H208" i="1"/>
  <c r="I207" i="1"/>
  <c r="H207" i="1"/>
  <c r="G207" i="1"/>
  <c r="I205" i="1"/>
  <c r="H205" i="1"/>
  <c r="G205" i="1"/>
  <c r="F205" i="1"/>
  <c r="F204" i="1"/>
  <c r="H203" i="1"/>
  <c r="G203" i="1"/>
  <c r="I202" i="1"/>
  <c r="G202" i="1"/>
  <c r="F202" i="1"/>
  <c r="G198" i="1"/>
  <c r="I198" i="1"/>
  <c r="F198" i="1"/>
  <c r="I197" i="1"/>
  <c r="F197" i="1"/>
  <c r="G197" i="1"/>
  <c r="H155" i="1" l="1"/>
  <c r="H150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D14" i="13" s="1"/>
  <c r="C14" i="13" s="1"/>
  <c r="L243" i="1"/>
  <c r="F15" i="13"/>
  <c r="G15" i="13"/>
  <c r="L208" i="1"/>
  <c r="L226" i="1"/>
  <c r="G662" i="1" s="1"/>
  <c r="L244" i="1"/>
  <c r="G651" i="1" s="1"/>
  <c r="J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1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H639" i="1" s="1"/>
  <c r="J639" i="1" s="1"/>
  <c r="G461" i="1"/>
  <c r="H640" i="1" s="1"/>
  <c r="H461" i="1"/>
  <c r="F470" i="1"/>
  <c r="G470" i="1"/>
  <c r="G476" i="1" s="1"/>
  <c r="H623" i="1" s="1"/>
  <c r="J623" i="1" s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H545" i="1" s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J641" i="1" s="1"/>
  <c r="H641" i="1"/>
  <c r="G643" i="1"/>
  <c r="J643" i="1" s="1"/>
  <c r="H643" i="1"/>
  <c r="G644" i="1"/>
  <c r="H645" i="1"/>
  <c r="G650" i="1"/>
  <c r="G652" i="1"/>
  <c r="H652" i="1"/>
  <c r="G653" i="1"/>
  <c r="H653" i="1"/>
  <c r="G654" i="1"/>
  <c r="H654" i="1"/>
  <c r="H655" i="1"/>
  <c r="J655" i="1" s="1"/>
  <c r="F192" i="1"/>
  <c r="K257" i="1"/>
  <c r="K271" i="1" s="1"/>
  <c r="L328" i="1"/>
  <c r="A31" i="12"/>
  <c r="D62" i="2"/>
  <c r="D63" i="2" s="1"/>
  <c r="D18" i="2"/>
  <c r="F78" i="2"/>
  <c r="C78" i="2"/>
  <c r="D50" i="2"/>
  <c r="G161" i="2"/>
  <c r="D91" i="2"/>
  <c r="G62" i="2"/>
  <c r="D19" i="13"/>
  <c r="C19" i="13" s="1"/>
  <c r="E78" i="2"/>
  <c r="H112" i="1"/>
  <c r="K605" i="1"/>
  <c r="G648" i="1" s="1"/>
  <c r="L419" i="1"/>
  <c r="I169" i="1"/>
  <c r="G552" i="1"/>
  <c r="H476" i="1"/>
  <c r="H624" i="1" s="1"/>
  <c r="J624" i="1" s="1"/>
  <c r="J140" i="1"/>
  <c r="K550" i="1"/>
  <c r="G22" i="2"/>
  <c r="J552" i="1"/>
  <c r="H140" i="1"/>
  <c r="F22" i="13"/>
  <c r="C22" i="13" s="1"/>
  <c r="H192" i="1"/>
  <c r="L570" i="1"/>
  <c r="I571" i="1"/>
  <c r="G36" i="2"/>
  <c r="J640" i="1" l="1"/>
  <c r="I460" i="1"/>
  <c r="I461" i="1" s="1"/>
  <c r="H642" i="1" s="1"/>
  <c r="I446" i="1"/>
  <c r="G642" i="1" s="1"/>
  <c r="J476" i="1"/>
  <c r="H626" i="1" s="1"/>
  <c r="L401" i="1"/>
  <c r="C139" i="2" s="1"/>
  <c r="H408" i="1"/>
  <c r="H644" i="1" s="1"/>
  <c r="J644" i="1" s="1"/>
  <c r="G645" i="1"/>
  <c r="J645" i="1"/>
  <c r="H552" i="1"/>
  <c r="K551" i="1"/>
  <c r="L524" i="1"/>
  <c r="L544" i="1"/>
  <c r="I545" i="1"/>
  <c r="G545" i="1"/>
  <c r="K549" i="1"/>
  <c r="J634" i="1"/>
  <c r="L362" i="1"/>
  <c r="H661" i="1"/>
  <c r="L270" i="1"/>
  <c r="C21" i="10"/>
  <c r="H662" i="1"/>
  <c r="L247" i="1"/>
  <c r="H660" i="1" s="1"/>
  <c r="H257" i="1"/>
  <c r="H271" i="1" s="1"/>
  <c r="C110" i="2"/>
  <c r="C123" i="2"/>
  <c r="C18" i="10"/>
  <c r="C17" i="10"/>
  <c r="C11" i="10"/>
  <c r="D5" i="13"/>
  <c r="C5" i="13" s="1"/>
  <c r="C109" i="2"/>
  <c r="L211" i="1"/>
  <c r="L257" i="1" s="1"/>
  <c r="L271" i="1" s="1"/>
  <c r="G632" i="1" s="1"/>
  <c r="J632" i="1" s="1"/>
  <c r="A13" i="12"/>
  <c r="C10" i="10"/>
  <c r="J617" i="1"/>
  <c r="C18" i="2"/>
  <c r="E128" i="2"/>
  <c r="C16" i="13"/>
  <c r="E13" i="13"/>
  <c r="C13" i="13" s="1"/>
  <c r="L290" i="1"/>
  <c r="I271" i="1"/>
  <c r="L539" i="1"/>
  <c r="K503" i="1"/>
  <c r="L382" i="1"/>
  <c r="G636" i="1" s="1"/>
  <c r="J636" i="1" s="1"/>
  <c r="K352" i="1"/>
  <c r="E109" i="2"/>
  <c r="E115" i="2" s="1"/>
  <c r="G81" i="2"/>
  <c r="C62" i="2"/>
  <c r="F661" i="1"/>
  <c r="I661" i="1" s="1"/>
  <c r="C19" i="10"/>
  <c r="C15" i="10"/>
  <c r="G112" i="1"/>
  <c r="E8" i="13"/>
  <c r="C8" i="13" s="1"/>
  <c r="D12" i="13"/>
  <c r="C12" i="13" s="1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C81" i="2"/>
  <c r="H25" i="13"/>
  <c r="E81" i="2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J642" i="1" l="1"/>
  <c r="L408" i="1"/>
  <c r="C141" i="2"/>
  <c r="C144" i="2" s="1"/>
  <c r="K552" i="1"/>
  <c r="L545" i="1"/>
  <c r="E145" i="2"/>
  <c r="H648" i="1"/>
  <c r="J648" i="1" s="1"/>
  <c r="I662" i="1"/>
  <c r="H664" i="1"/>
  <c r="H667" i="1" s="1"/>
  <c r="C115" i="2"/>
  <c r="G667" i="1"/>
  <c r="C128" i="2"/>
  <c r="C28" i="10"/>
  <c r="D24" i="10" s="1"/>
  <c r="F660" i="1"/>
  <c r="F664" i="1" s="1"/>
  <c r="F672" i="1" s="1"/>
  <c r="C4" i="10" s="1"/>
  <c r="C63" i="2"/>
  <c r="C104" i="2" s="1"/>
  <c r="D31" i="13"/>
  <c r="C31" i="13" s="1"/>
  <c r="G104" i="2"/>
  <c r="E33" i="13"/>
  <c r="D35" i="13" s="1"/>
  <c r="L338" i="1"/>
  <c r="L352" i="1" s="1"/>
  <c r="G633" i="1" s="1"/>
  <c r="J633" i="1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H672" i="1"/>
  <c r="C6" i="10" s="1"/>
  <c r="D33" i="13"/>
  <c r="D36" i="13" s="1"/>
  <c r="C145" i="2"/>
  <c r="D15" i="10"/>
  <c r="D19" i="10"/>
  <c r="F667" i="1"/>
  <c r="D10" i="10"/>
  <c r="C30" i="10"/>
  <c r="D23" i="10"/>
  <c r="D20" i="10"/>
  <c r="D25" i="10"/>
  <c r="D26" i="10"/>
  <c r="D16" i="10"/>
  <c r="D13" i="10"/>
  <c r="D11" i="10"/>
  <c r="D21" i="10"/>
  <c r="D22" i="10"/>
  <c r="D27" i="10"/>
  <c r="D18" i="10"/>
  <c r="D17" i="10"/>
  <c r="D12" i="10"/>
  <c r="I660" i="1"/>
  <c r="I664" i="1" s="1"/>
  <c r="I672" i="1" s="1"/>
  <c r="C7" i="10" s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<sst xmlns="http://schemas.openxmlformats.org/spreadsheetml/2006/main" count="3954" uniqueCount="912">
  <si>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</si>
  <si>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</si>
  <si>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</si>
  <si>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</si>
  <si>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</si>
  <si>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</si>
  <si>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</si>
  <si>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</si>
  <si>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</si>
  <si>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</si>
  <si>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</si>
  <si>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</si>
  <si>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</si>
  <si>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</si>
  <si>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</si>
  <si>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</si>
  <si>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</si>
  <si>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</si>
  <si>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</si>
  <si>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</si>
  <si>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</si>
  <si>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</si>
  <si>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</si>
  <si>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</si>
  <si>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</si>
  <si>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</si>
  <si>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</si>
  <si>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</si>
  <si>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</si>
  <si>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</si>
  <si>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</si>
  <si>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</si>
  <si>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</si>
  <si>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</si>
  <si>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</si>
  <si>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</si>
  <si>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</si>
  <si>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</si>
  <si>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</si>
  <si>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</si>
  <si>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</si>
  <si>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</si>
  <si>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</si>
  <si>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</si>
  <si>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</si>
  <si>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</si>
  <si>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</si>
  <si>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</si>
  <si>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</si>
  <si>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</si>
  <si>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</si>
  <si>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</si>
  <si>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</si>
  <si>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</si>
  <si>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</si>
  <si>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</si>
  <si>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</si>
  <si>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</si>
  <si>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</si>
  <si>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</si>
  <si>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</si>
  <si>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</si>
  <si>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</si>
  <si>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</si>
  <si>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</si>
  <si>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</si>
  <si>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</si>
  <si>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</si>
  <si>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</si>
  <si>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</si>
  <si>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</si>
  <si>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</si>
  <si>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</si>
  <si>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</si>
  <si>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</si>
  <si>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</si>
  <si>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</si>
  <si>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</si>
  <si>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</si>
  <si>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</si>
  <si>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</si>
  <si>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</si>
  <si>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</si>
  <si>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</si>
  <si>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</si>
  <si>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</si>
  <si>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</si>
  <si>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</si>
  <si>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</si>
  <si>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</si>
  <si>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</si>
  <si>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</si>
  <si>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</si>
  <si>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</si>
  <si>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</si>
  <si>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</si>
  <si>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</si>
  <si>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</si>
  <si>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</si>
  <si>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</si>
  <si>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</si>
  <si>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</si>
  <si>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</si>
  <si>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</si>
  <si>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</si>
  <si>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</si>
  <si>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</si>
  <si>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</si>
  <si>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</si>
  <si>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</si>
  <si>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</si>
  <si>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</si>
  <si>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</si>
  <si>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</si>
  <si>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</si>
  <si>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</si>
  <si>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</si>
  <si>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</si>
  <si>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</si>
  <si>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</si>
  <si>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</si>
  <si>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</si>
  <si>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</si>
  <si>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</si>
  <si>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</si>
  <si>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</si>
  <si>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</si>
  <si>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</si>
  <si>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</si>
  <si>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</si>
  <si>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</si>
  <si>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</si>
  <si>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</si>
  <si>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</si>
  <si>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</si>
  <si>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</si>
  <si>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</si>
  <si>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</si>
  <si>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</si>
  <si>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</si>
  <si>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</si>
  <si>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</si>
  <si>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</si>
  <si>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</si>
  <si>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</si>
  <si>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</si>
  <si>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</si>
  <si>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</si>
  <si>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</si>
  <si>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</si>
  <si>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</si>
  <si>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</si>
  <si>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</si>
  <si>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</si>
  <si>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</si>
  <si>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</si>
  <si>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</si>
  <si>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</si>
  <si>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</si>
  <si>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</si>
  <si>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</si>
  <si>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</si>
  <si>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</si>
  <si>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</si>
  <si>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</si>
  <si>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</si>
  <si>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</si>
  <si>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</si>
  <si>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</si>
  <si>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</si>
  <si>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</si>
  <si>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</si>
  <si>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</si>
  <si>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</si>
  <si>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</si>
  <si>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</si>
  <si>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</si>
  <si>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</si>
  <si>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</si>
  <si>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</si>
  <si>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</si>
  <si>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</si>
  <si>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</si>
  <si>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</si>
  <si>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</si>
  <si>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</si>
  <si>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</si>
  <si>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</si>
  <si>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</si>
  <si>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</si>
  <si>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</si>
  <si>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</si>
  <si>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</si>
  <si>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</si>
  <si>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</si>
  <si>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</si>
  <si>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</si>
  <si>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</si>
  <si>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</si>
  <si>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</si>
  <si>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</si>
  <si>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</si>
  <si>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</si>
  <si>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</si>
  <si>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</si>
  <si>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</si>
  <si>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</si>
  <si>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</si>
  <si>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</si>
  <si>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</si>
  <si>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</si>
  <si>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</si>
  <si>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</si>
  <si>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</si>
  <si>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</si>
  <si>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</si>
  <si>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</si>
  <si>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</si>
  <si>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</si>
  <si>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</si>
  <si>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</si>
  <si>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</si>
  <si>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</si>
  <si>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</si>
  <si>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</si>
  <si>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</si>
  <si>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</si>
  <si>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</si>
  <si>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</si>
  <si>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</si>
  <si>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</si>
  <si>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</si>
  <si>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</si>
  <si>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</si>
  <si>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</si>
  <si>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</si>
  <si>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</si>
  <si>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</si>
  <si>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</si>
  <si>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</si>
  <si>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</si>
  <si>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</si>
  <si>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</si>
  <si>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</si>
  <si>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</si>
  <si>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</si>
  <si>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</si>
  <si>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</si>
  <si>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</si>
  <si>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</si>
  <si>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</si>
  <si>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</si>
  <si>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</si>
  <si>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</si>
  <si>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</si>
  <si>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</si>
  <si>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</si>
  <si>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</si>
  <si>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</si>
  <si>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</si>
  <si>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</si>
  <si>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</si>
  <si>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</si>
  <si>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</si>
  <si>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</si>
  <si>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</si>
  <si>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</si>
  <si>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</si>
  <si>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</si>
  <si>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</si>
  <si>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</si>
  <si>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</si>
  <si>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</si>
  <si>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</si>
  <si>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</si>
  <si>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</si>
  <si>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</si>
  <si>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</si>
  <si>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</si>
  <si>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</si>
  <si>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</si>
  <si>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</si>
  <si>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</si>
  <si>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</si>
  <si>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</si>
  <si>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</si>
  <si>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</si>
  <si>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</si>
  <si>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</si>
  <si>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</si>
  <si>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</si>
  <si>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</si>
  <si>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</si>
  <si>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</si>
  <si>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</si>
  <si>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</si>
  <si>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</si>
  <si>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</si>
  <si>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</si>
  <si>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</si>
  <si>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</si>
  <si>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</si>
  <si>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</si>
  <si>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</si>
  <si>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</si>
  <si>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</si>
  <si>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</si>
  <si>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</si>
  <si>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</si>
  <si>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</si>
  <si>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</si>
  <si>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</si>
  <si>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</si>
  <si>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</si>
  <si>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</si>
  <si>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</si>
  <si>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</si>
  <si>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</si>
  <si>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</si>
  <si>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</si>
  <si>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</si>
  <si>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</si>
  <si>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</si>
  <si>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</si>
  <si>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</si>
  <si>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</si>
  <si>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</si>
  <si>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</si>
  <si>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</si>
  <si>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</si>
  <si>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</si>
  <si>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</si>
  <si>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</si>
  <si>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</si>
  <si>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</si>
  <si>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</si>
  <si>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</si>
  <si>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</si>
  <si>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</si>
  <si>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</si>
  <si>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</si>
  <si>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</si>
  <si>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</si>
  <si>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</si>
  <si>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</si>
  <si>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</si>
  <si>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</si>
  <si>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</si>
  <si>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</si>
  <si>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</si>
  <si>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</si>
  <si>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</si>
  <si>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</si>
  <si>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</si>
  <si>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</si>
  <si>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</si>
  <si>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</si>
  <si>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</si>
  <si>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</si>
  <si>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</si>
  <si>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</si>
  <si>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</si>
  <si>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</si>
  <si>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</si>
  <si>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</si>
  <si>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</si>
  <si>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</si>
  <si>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</si>
  <si>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</si>
  <si>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</si>
  <si>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</si>
  <si>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</si>
  <si>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</si>
  <si>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</si>
  <si>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</si>
  <si>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</si>
  <si>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</si>
  <si>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</si>
  <si>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</si>
  <si>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</si>
  <si>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</si>
  <si>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</si>
  <si>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</si>
  <si>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</si>
  <si>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</si>
  <si>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</si>
  <si>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</si>
  <si>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</si>
  <si>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</si>
  <si>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</si>
  <si>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</si>
  <si>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</si>
  <si>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</si>
  <si>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</si>
  <si>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</si>
  <si>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</si>
  <si>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</si>
  <si>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</si>
  <si>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</si>
  <si>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</si>
  <si>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</si>
  <si>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</si>
  <si>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</si>
  <si>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</si>
  <si>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</si>
  <si>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</si>
  <si>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</si>
  <si>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</si>
  <si>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</si>
  <si>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</si>
  <si>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</si>
  <si>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</si>
  <si>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</si>
  <si>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</si>
  <si>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</si>
  <si>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</si>
  <si>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</si>
  <si>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</si>
  <si>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</si>
  <si>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</si>
  <si>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</si>
  <si>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</si>
  <si>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</si>
  <si>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</si>
  <si>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</si>
  <si>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</si>
  <si>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</si>
  <si>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</si>
  <si>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</si>
  <si>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</si>
  <si>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</si>
  <si>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</si>
  <si>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</si>
  <si>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</si>
  <si>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</si>
  <si>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</si>
  <si>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</si>
  <si>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</si>
  <si>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</si>
  <si>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</si>
  <si>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</si>
  <si>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</si>
  <si>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</si>
  <si>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</si>
  <si>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</si>
  <si>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</si>
  <si>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</si>
  <si>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</si>
  <si>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</si>
  <si>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</si>
  <si>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</si>
  <si>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</si>
  <si>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</si>
  <si>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</si>
  <si>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</si>
  <si>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</si>
  <si>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</si>
  <si>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</si>
  <si>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</si>
  <si>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</si>
  <si>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</si>
  <si>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</si>
  <si>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</si>
  <si>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</si>
  <si>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</si>
  <si>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</si>
  <si>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</si>
  <si>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</si>
  <si>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</si>
  <si>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</si>
  <si>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</si>
  <si>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</si>
  <si>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</si>
  <si>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</si>
  <si>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</si>
  <si>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</si>
  <si>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</si>
  <si>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</si>
  <si>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</si>
  <si>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</si>
  <si>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</si>
  <si>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</si>
  <si>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</si>
  <si>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</si>
  <si>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</si>
  <si>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</si>
  <si>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</si>
  <si>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</si>
  <si>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</si>
  <si>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</si>
  <si>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</si>
  <si>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</si>
  <si>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</si>
  <si>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</si>
  <si>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</si>
  <si>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</si>
  <si>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</si>
  <si>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</si>
  <si>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</si>
  <si>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</si>
  <si>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</si>
  <si>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</si>
  <si>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</si>
  <si>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</si>
  <si>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</si>
  <si>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</si>
  <si>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</si>
  <si>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</si>
  <si>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</si>
  <si>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</si>
  <si>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</si>
  <si>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</si>
  <si>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</si>
  <si>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</si>
  <si>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</si>
  <si>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</si>
  <si>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</si>
  <si>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</si>
  <si>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</si>
  <si>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</si>
  <si>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</si>
  <si>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</si>
  <si>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</si>
  <si>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</si>
  <si>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</si>
  <si>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</si>
  <si>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</si>
  <si>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</si>
  <si>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</si>
  <si>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</si>
  <si>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</si>
  <si>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</si>
  <si>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</si>
  <si>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</si>
  <si>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</si>
  <si>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</si>
  <si>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</si>
  <si>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</si>
  <si>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</si>
  <si>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</si>
  <si>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</si>
  <si>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</si>
  <si>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</si>
  <si>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</si>
  <si>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</si>
  <si>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</si>
  <si>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</si>
  <si>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</si>
  <si>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</si>
  <si>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</si>
  <si>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</si>
  <si>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</si>
  <si>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</si>
  <si>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</si>
  <si>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</si>
  <si>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</si>
  <si>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</si>
  <si>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</si>
  <si>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</si>
  <si>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</si>
  <si>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</si>
  <si>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</si>
  <si>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</si>
  <si>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</si>
  <si>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</si>
  <si>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</si>
  <si>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</si>
  <si>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</si>
  <si>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</si>
  <si>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</si>
  <si>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</si>
  <si>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</si>
  <si>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</si>
  <si>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</si>
  <si>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</si>
  <si>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</si>
  <si>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</si>
  <si>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</si>
  <si>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</si>
  <si>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</si>
  <si>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</si>
  <si>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</si>
  <si>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</si>
  <si>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</si>
  <si>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</si>
  <si>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</si>
  <si>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</si>
  <si>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</si>
  <si>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</si>
  <si>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</si>
  <si>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</si>
  <si>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</si>
  <si>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</si>
  <si>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</si>
  <si>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</si>
  <si>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</si>
  <si>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</si>
  <si>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</si>
  <si>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</si>
  <si>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</si>
  <si>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</si>
  <si>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</si>
  <si>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</si>
  <si>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</si>
  <si>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</si>
  <si>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</si>
  <si>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</si>
  <si>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</si>
  <si>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</si>
  <si>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</si>
  <si>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</si>
  <si>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</si>
  <si>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</si>
  <si>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</si>
  <si>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</si>
  <si>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</si>
  <si>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</si>
  <si>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</si>
  <si>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</si>
  <si>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</si>
  <si>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</si>
  <si>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</si>
  <si>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</si>
  <si>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</si>
  <si>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</si>
  <si>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</si>
  <si>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</si>
  <si>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</si>
  <si>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</si>
  <si>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</si>
  <si>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</si>
  <si>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</si>
  <si>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</si>
  <si>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</si>
  <si>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</si>
  <si>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</si>
  <si>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</si>
  <si>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</si>
  <si>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</si>
  <si>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</si>
  <si>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</si>
  <si>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</si>
  <si>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</si>
  <si>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</si>
  <si>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</si>
  <si>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</si>
  <si>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</si>
  <si>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</si>
  <si>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</si>
  <si>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</si>
  <si>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</si>
  <si>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</si>
  <si>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</si>
  <si>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</si>
  <si>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</si>
  <si>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</si>
  <si>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</si>
  <si>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</si>
  <si>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</si>
  <si>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</si>
  <si>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</si>
  <si>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</si>
  <si>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</si>
  <si>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</si>
  <si>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</si>
  <si>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</si>
  <si>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</si>
  <si>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</si>
  <si>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</si>
  <si>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</si>
  <si>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</si>
  <si>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</si>
  <si>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</si>
  <si>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</si>
  <si>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</si>
  <si>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</si>
  <si>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</si>
  <si>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</si>
  <si>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</si>
  <si>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</si>
  <si>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</si>
  <si>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</si>
  <si>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</si>
  <si>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</si>
  <si>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</si>
  <si>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</si>
  <si>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</si>
  <si>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</si>
  <si>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</si>
  <si>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</si>
  <si>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</si>
  <si>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</si>
  <si>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</si>
  <si>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</si>
  <si>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</si>
  <si>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</si>
  <si>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</si>
  <si>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</si>
  <si>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</si>
  <si>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</si>
  <si>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</si>
  <si>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</si>
  <si>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</si>
  <si>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</si>
  <si>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</si>
  <si>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</si>
  <si>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</si>
  <si>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</si>
  <si>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</si>
  <si>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</si>
  <si>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</si>
  <si>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</si>
  <si>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</si>
  <si>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</si>
  <si>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</si>
  <si>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</si>
  <si>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</si>
  <si>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</si>
  <si>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</si>
  <si>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</si>
  <si>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</si>
  <si>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</si>
  <si>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</si>
  <si>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</si>
  <si>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</si>
  <si>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</si>
  <si>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</si>
  <si>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</si>
  <si>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</si>
  <si>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</si>
  <si>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</si>
  <si>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</si>
  <si>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</si>
  <si>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</si>
  <si>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</si>
  <si>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</si>
  <si>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</si>
  <si>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</si>
  <si>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</si>
  <si>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</si>
  <si>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</si>
  <si>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</si>
  <si>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</si>
  <si>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</si>
  <si>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</si>
  <si>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</si>
  <si>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</si>
  <si>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</si>
  <si>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</si>
  <si>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</si>
  <si>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</si>
  <si>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</si>
  <si>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</si>
  <si>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</si>
  <si>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</si>
  <si>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</si>
  <si>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</si>
  <si>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</si>
  <si>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</si>
  <si>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</si>
  <si>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</si>
  <si>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</si>
  <si>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</si>
  <si>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</si>
  <si>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</si>
  <si>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</si>
  <si>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</si>
  <si>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</si>
  <si>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</si>
  <si>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</si>
  <si>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</si>
  <si>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</si>
  <si>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</si>
  <si>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</si>
  <si>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</si>
  <si>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</si>
  <si>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</si>
  <si>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</si>
  <si>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</si>
  <si>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</si>
  <si>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</si>
  <si>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</si>
  <si>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</si>
  <si>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</si>
  <si>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</si>
  <si>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</si>
  <si>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</si>
  <si>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</si>
  <si>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</si>
  <si>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</si>
  <si>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</si>
  <si>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</si>
  <si>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</si>
  <si>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</si>
  <si>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</si>
  <si>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</si>
  <si>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</si>
  <si>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</si>
  <si>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</si>
  <si>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</si>
  <si>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</si>
  <si>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</si>
  <si>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</si>
  <si>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</si>
  <si>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</si>
  <si>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</si>
  <si>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</si>
  <si>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</si>
  <si>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</si>
  <si>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</si>
  <si>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</si>
  <si>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</si>
  <si>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</si>
  <si>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</si>
  <si>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</si>
  <si>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</si>
  <si>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</si>
  <si>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</si>
  <si>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</si>
  <si>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</si>
  <si>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</si>
  <si>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</si>
  <si>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</si>
  <si>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</si>
  <si>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</si>
  <si>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</si>
  <si>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</si>
  <si>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</si>
  <si>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</si>
  <si>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</si>
  <si>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</si>
  <si>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</si>
  <si>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</si>
  <si>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</si>
  <si>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</si>
  <si>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</si>
  <si>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</si>
  <si>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</si>
  <si>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</si>
  <si>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</si>
  <si>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</si>
  <si>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</si>
  <si>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</si>
  <si>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</si>
  <si>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</si>
  <si>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</si>
  <si>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</si>
  <si>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</si>
  <si>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</si>
  <si>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</si>
  <si>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</si>
  <si>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</si>
  <si>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</si>
  <si>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</si>
  <si>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</si>
  <si>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</si>
  <si>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</si>
  <si>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</si>
  <si>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</si>
  <si>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</si>
  <si>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</si>
  <si>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</si>
  <si>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</si>
  <si>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</si>
  <si>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</si>
  <si>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</si>
  <si>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</si>
  <si>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</si>
  <si>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</si>
  <si>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</si>
  <si>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</si>
  <si>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</si>
  <si>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</si>
  <si>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</si>
  <si>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</si>
  <si>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</si>
  <si>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</si>
  <si>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</si>
  <si>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</si>
  <si>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</si>
  <si>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</si>
  <si>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</si>
  <si>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</si>
  <si>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</si>
  <si>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</si>
  <si>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</si>
  <si>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</si>
  <si>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</si>
  <si>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</si>
  <si>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</si>
  <si>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</si>
  <si>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</si>
  <si>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</si>
  <si>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</si>
  <si>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</si>
  <si>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</si>
  <si>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</si>
  <si>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</si>
  <si>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</si>
  <si>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</si>
  <si>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</si>
  <si>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</si>
  <si>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</si>
  <si>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</si>
  <si>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</si>
  <si>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</si>
  <si>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</si>
  <si>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</si>
  <si>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</si>
  <si>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</si>
  <si>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</si>
  <si>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MARLOW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</si>
</sst>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6" zoomScaleNormal="136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341</v>
      </c>
      <c r="C2" s="21">
        <v>341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3630.52-9620.76</f>
        <v>-5990.24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386694.42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7436.56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8814.64</v>
      </c>
      <c r="G13" s="18"/>
      <c r="H13" s="18">
        <v>7644.12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10260.959999999999</v>
      </c>
      <c r="G19" s="41">
        <f>SUM(G9:G18)</f>
        <v>0</v>
      </c>
      <c r="H19" s="41">
        <f>SUM(H9:H18)</f>
        <v>7644.12</v>
      </c>
      <c r="I19" s="41">
        <f>SUM(I9:I18)</f>
        <v>0</v>
      </c>
      <c r="J19" s="41">
        <f>SUM(J9:J18)</f>
        <v>386694.42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7436.56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2093.27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3342.93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4562.26</v>
      </c>
      <c r="G28" s="18"/>
      <c r="H28" s="18">
        <v>207.56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9998.4599999999991</v>
      </c>
      <c r="G32" s="41">
        <f>SUM(G22:G31)</f>
        <v>0</v>
      </c>
      <c r="H32" s="41">
        <f>SUM(H22:H31)</f>
        <v>7644.1200000000008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262.5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386694.42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262.5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386694.42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10260.959999999999</v>
      </c>
      <c r="G52" s="41">
        <f>G51+G32</f>
        <v>0</v>
      </c>
      <c r="H52" s="41">
        <f>H51+H32</f>
        <v>7644.1200000000008</v>
      </c>
      <c r="I52" s="41">
        <f>I51+I32</f>
        <v>0</v>
      </c>
      <c r="J52" s="41">
        <f>J51+J32</f>
        <v>386694.42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619738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619738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163.5</v>
      </c>
      <c r="G96" s="18"/>
      <c r="H96" s="18"/>
      <c r="I96" s="18"/>
      <c r="J96" s="18">
        <f>77.31+430.99+172.48</f>
        <v>680.78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12262.17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1265.5+5024.57</f>
        <v>6290.07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18715.739999999998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680.78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638453.74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680.78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618350.43999999994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133493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751843.44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4189.55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4189.55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756032.99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2546.44+4759.82</f>
        <v>7306.26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6699.22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1525.22+1381.39</f>
        <v>2906.61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4233.43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45542.21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45542.21</v>
      </c>
      <c r="G162" s="41">
        <f>SUM(G150:G161)</f>
        <v>0</v>
      </c>
      <c r="H162" s="41">
        <f>SUM(H150:H161)</f>
        <v>21145.52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45542.21</v>
      </c>
      <c r="G169" s="41">
        <f>G147+G162+SUM(G163:G168)</f>
        <v>0</v>
      </c>
      <c r="H169" s="41">
        <f>H147+H162+SUM(H163:H168)</f>
        <v>21145.52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2326.2600000000002</v>
      </c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2326.2600000000002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3389.12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3389.12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3389.12</v>
      </c>
      <c r="G192" s="41">
        <f>G183+SUM(G188:G191)</f>
        <v>2326.2600000000002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1443418.06</v>
      </c>
      <c r="G193" s="47">
        <f>G112+G140+G169+G192</f>
        <v>2326.2600000000002</v>
      </c>
      <c r="H193" s="47">
        <f>H112+H140+H169+H192</f>
        <v>21145.52</v>
      </c>
      <c r="I193" s="47">
        <f>I112+I140+I169+I192</f>
        <v>0</v>
      </c>
      <c r="J193" s="47">
        <f>J112+J140+J192</f>
        <v>75680.78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159784.12+4907.36+753.48</f>
        <v>165444.96</v>
      </c>
      <c r="G197" s="18">
        <f>41178.08+3369.46+167.24+455.45+12391.34+19383.78+997.78</f>
        <v>77943.12999999999</v>
      </c>
      <c r="H197" s="18">
        <v>8391.42</v>
      </c>
      <c r="I197" s="18">
        <f>2962.62+1213.79+85</f>
        <v>4261.41</v>
      </c>
      <c r="J197" s="18">
        <v>81</v>
      </c>
      <c r="K197" s="18">
        <v>590.11</v>
      </c>
      <c r="L197" s="19">
        <f>SUM(F197:K197)</f>
        <v>256712.02999999997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31987.06+44468.04</f>
        <v>76455.100000000006</v>
      </c>
      <c r="G198" s="18">
        <f>17782.67+1433.17+62.7+116.42+5726.87+4529.44+298.2</f>
        <v>29949.469999999994</v>
      </c>
      <c r="H198" s="18">
        <v>33116</v>
      </c>
      <c r="I198" s="18">
        <f>73.38+18.5</f>
        <v>91.88</v>
      </c>
      <c r="J198" s="18"/>
      <c r="K198" s="18"/>
      <c r="L198" s="19">
        <f>SUM(F198:K198)</f>
        <v>139612.45000000001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4527.73</f>
        <v>4527.7299999999996</v>
      </c>
      <c r="G202" s="18">
        <f>346.32+17.72</f>
        <v>364.03999999999996</v>
      </c>
      <c r="H202" s="18">
        <f>11524.88+237.5+4780.48+34429.5+1196.25+3223.75+14640.15+20667</f>
        <v>90699.51</v>
      </c>
      <c r="I202" s="18">
        <f>60+373.42</f>
        <v>433.42</v>
      </c>
      <c r="J202" s="18"/>
      <c r="K202" s="18"/>
      <c r="L202" s="19">
        <f t="shared" ref="L202:L208" si="0">SUM(F202:K202)</f>
        <v>96024.7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8299.98</v>
      </c>
      <c r="G203" s="18">
        <f>634.92+32.24</f>
        <v>667.16</v>
      </c>
      <c r="H203" s="18">
        <f>64+1006.99+113.9</f>
        <v>1184.8900000000001</v>
      </c>
      <c r="I203" s="18">
        <v>763.01</v>
      </c>
      <c r="J203" s="18"/>
      <c r="K203" s="18"/>
      <c r="L203" s="19">
        <f t="shared" si="0"/>
        <v>10915.039999999999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1200+242.25+1750</f>
        <v>3192.25</v>
      </c>
      <c r="G204" s="18">
        <f>123.58+140.35+3000</f>
        <v>3263.93</v>
      </c>
      <c r="H204" s="18">
        <f>100.25+50+100+5750+325+50+51715</f>
        <v>58090.25</v>
      </c>
      <c r="I204" s="18">
        <v>413.54</v>
      </c>
      <c r="J204" s="18"/>
      <c r="K204" s="18"/>
      <c r="L204" s="19">
        <f t="shared" si="0"/>
        <v>64959.97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51457.12+28558.45</f>
        <v>80015.570000000007</v>
      </c>
      <c r="G205" s="18">
        <f>12161.33+821.18+62.7+104.13+5803.24+3075.74+310.52</f>
        <v>22338.84</v>
      </c>
      <c r="H205" s="18">
        <f>471.8+9750.14+119.23</f>
        <v>10341.169999999998</v>
      </c>
      <c r="I205" s="18">
        <f>454.1+454.08</f>
        <v>908.18000000000006</v>
      </c>
      <c r="J205" s="18">
        <v>99.99</v>
      </c>
      <c r="K205" s="18"/>
      <c r="L205" s="19">
        <f t="shared" si="0"/>
        <v>113703.75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16213.83</v>
      </c>
      <c r="G207" s="18">
        <f>1240.4+299.09</f>
        <v>1539.49</v>
      </c>
      <c r="H207" s="18">
        <f>13815.24+1316.46</f>
        <v>15131.7</v>
      </c>
      <c r="I207" s="18">
        <f>1327.97+541.7+5985.97+9478.39</f>
        <v>17334.03</v>
      </c>
      <c r="J207" s="18">
        <v>635.5</v>
      </c>
      <c r="K207" s="18"/>
      <c r="L207" s="19">
        <f t="shared" si="0"/>
        <v>50854.55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35004.44+13826.36</f>
        <v>48830.8</v>
      </c>
      <c r="I208" s="18"/>
      <c r="J208" s="18"/>
      <c r="K208" s="18"/>
      <c r="L208" s="19">
        <f t="shared" si="0"/>
        <v>48830.8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351.5</v>
      </c>
      <c r="I209" s="18"/>
      <c r="J209" s="18"/>
      <c r="K209" s="18"/>
      <c r="L209" s="19">
        <f>SUM(F209:K209)</f>
        <v>351.5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354149.42000000004</v>
      </c>
      <c r="G211" s="41">
        <f t="shared" si="1"/>
        <v>136066.05999999997</v>
      </c>
      <c r="H211" s="41">
        <f t="shared" si="1"/>
        <v>266137.24</v>
      </c>
      <c r="I211" s="41">
        <f t="shared" si="1"/>
        <v>24205.47</v>
      </c>
      <c r="J211" s="41">
        <f t="shared" si="1"/>
        <v>816.49</v>
      </c>
      <c r="K211" s="41">
        <f t="shared" si="1"/>
        <v>590.11</v>
      </c>
      <c r="L211" s="41">
        <f t="shared" si="1"/>
        <v>781964.79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171263.78</v>
      </c>
      <c r="I215" s="18"/>
      <c r="J215" s="18"/>
      <c r="K215" s="18"/>
      <c r="L215" s="19">
        <f>SUM(F215:K215)</f>
        <v>171263.78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171514.23999999999</v>
      </c>
      <c r="I216" s="18"/>
      <c r="J216" s="18"/>
      <c r="K216" s="18"/>
      <c r="L216" s="19">
        <f>SUM(F216:K216)</f>
        <v>171514.23999999999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9446.28+11799.51</f>
        <v>21245.79</v>
      </c>
      <c r="I226" s="18"/>
      <c r="J226" s="18"/>
      <c r="K226" s="18"/>
      <c r="L226" s="19">
        <f t="shared" si="2"/>
        <v>21245.79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364023.81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364023.81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247631.29</v>
      </c>
      <c r="I233" s="18"/>
      <c r="J233" s="18"/>
      <c r="K233" s="18"/>
      <c r="L233" s="19">
        <f>SUM(F233:K233)</f>
        <v>247631.29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119380</v>
      </c>
      <c r="I234" s="18"/>
      <c r="J234" s="18"/>
      <c r="K234" s="18"/>
      <c r="L234" s="19">
        <f>SUM(F234:K234)</f>
        <v>119380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19092.88</v>
      </c>
      <c r="I244" s="18"/>
      <c r="J244" s="18"/>
      <c r="K244" s="18"/>
      <c r="L244" s="19">
        <f t="shared" si="4"/>
        <v>19092.88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386104.17000000004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386104.17000000004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354149.42000000004</v>
      </c>
      <c r="G257" s="41">
        <f t="shared" si="8"/>
        <v>136066.05999999997</v>
      </c>
      <c r="H257" s="41">
        <f t="shared" si="8"/>
        <v>1016265.2200000001</v>
      </c>
      <c r="I257" s="41">
        <f t="shared" si="8"/>
        <v>24205.47</v>
      </c>
      <c r="J257" s="41">
        <f t="shared" si="8"/>
        <v>816.49</v>
      </c>
      <c r="K257" s="41">
        <f t="shared" si="8"/>
        <v>590.11</v>
      </c>
      <c r="L257" s="41">
        <f t="shared" si="8"/>
        <v>1532092.77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2326.2600000000002</v>
      </c>
      <c r="L263" s="19">
        <f>SUM(F263:K263)</f>
        <v>2326.2600000000002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77326.259999999995</v>
      </c>
      <c r="L270" s="41">
        <f t="shared" si="9"/>
        <v>77326.259999999995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354149.42000000004</v>
      </c>
      <c r="G271" s="42">
        <f t="shared" si="11"/>
        <v>136066.05999999997</v>
      </c>
      <c r="H271" s="42">
        <f t="shared" si="11"/>
        <v>1016265.2200000001</v>
      </c>
      <c r="I271" s="42">
        <f t="shared" si="11"/>
        <v>24205.47</v>
      </c>
      <c r="J271" s="42">
        <f t="shared" si="11"/>
        <v>816.49</v>
      </c>
      <c r="K271" s="42">
        <f t="shared" si="11"/>
        <v>77916.37</v>
      </c>
      <c r="L271" s="42">
        <f t="shared" si="11"/>
        <v>1609419.03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5293.6</f>
        <v>5293.6</v>
      </c>
      <c r="G276" s="18">
        <f>404.96+20.65</f>
        <v>425.60999999999996</v>
      </c>
      <c r="H276" s="18"/>
      <c r="I276" s="18">
        <f>1092.35+1315.87+462.82</f>
        <v>2871.04</v>
      </c>
      <c r="J276" s="18">
        <f>2613.61+1381.39</f>
        <v>3995</v>
      </c>
      <c r="K276" s="18"/>
      <c r="L276" s="19">
        <f>SUM(F276:K276)</f>
        <v>12585.25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176.22</v>
      </c>
      <c r="J277" s="18"/>
      <c r="K277" s="18"/>
      <c r="L277" s="19">
        <f>SUM(F277:K277)</f>
        <v>176.22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561.71</v>
      </c>
      <c r="J279" s="18">
        <v>327</v>
      </c>
      <c r="K279" s="18"/>
      <c r="L279" s="19">
        <f>SUM(F279:K279)</f>
        <v>888.71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565.38</f>
        <v>565.38</v>
      </c>
      <c r="I281" s="18">
        <f>32.31+87.7</f>
        <v>120.01</v>
      </c>
      <c r="J281" s="18"/>
      <c r="K281" s="18"/>
      <c r="L281" s="19">
        <f t="shared" ref="L281:L287" si="12">SUM(F281:K281)</f>
        <v>685.39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625</v>
      </c>
      <c r="G282" s="18">
        <f>47.81+88.5+2.44</f>
        <v>138.75</v>
      </c>
      <c r="H282" s="18">
        <f>700+250+4000</f>
        <v>4950</v>
      </c>
      <c r="I282" s="18">
        <v>117.52</v>
      </c>
      <c r="J282" s="18"/>
      <c r="K282" s="18"/>
      <c r="L282" s="19">
        <f t="shared" si="12"/>
        <v>5831.27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860</v>
      </c>
      <c r="I283" s="18"/>
      <c r="J283" s="18"/>
      <c r="K283" s="18"/>
      <c r="L283" s="19">
        <f t="shared" si="12"/>
        <v>860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61.47+57.21</f>
        <v>118.68</v>
      </c>
      <c r="L285" s="19">
        <f t="shared" si="12"/>
        <v>118.68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5918.6</v>
      </c>
      <c r="G290" s="42">
        <f t="shared" si="13"/>
        <v>564.3599999999999</v>
      </c>
      <c r="H290" s="42">
        <f t="shared" si="13"/>
        <v>6375.38</v>
      </c>
      <c r="I290" s="42">
        <f t="shared" si="13"/>
        <v>3846.5</v>
      </c>
      <c r="J290" s="42">
        <f t="shared" si="13"/>
        <v>4322</v>
      </c>
      <c r="K290" s="42">
        <f t="shared" si="13"/>
        <v>118.68</v>
      </c>
      <c r="L290" s="41">
        <f t="shared" si="13"/>
        <v>21145.52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5918.6</v>
      </c>
      <c r="G338" s="41">
        <f t="shared" si="20"/>
        <v>564.3599999999999</v>
      </c>
      <c r="H338" s="41">
        <f t="shared" si="20"/>
        <v>6375.38</v>
      </c>
      <c r="I338" s="41">
        <f t="shared" si="20"/>
        <v>3846.5</v>
      </c>
      <c r="J338" s="41">
        <f t="shared" si="20"/>
        <v>4322</v>
      </c>
      <c r="K338" s="41">
        <f t="shared" si="20"/>
        <v>118.68</v>
      </c>
      <c r="L338" s="41">
        <f t="shared" si="20"/>
        <v>21145.52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5918.6</v>
      </c>
      <c r="G352" s="41">
        <f>G338</f>
        <v>564.3599999999999</v>
      </c>
      <c r="H352" s="41">
        <f>H338</f>
        <v>6375.38</v>
      </c>
      <c r="I352" s="41">
        <f>I338</f>
        <v>3846.5</v>
      </c>
      <c r="J352" s="41">
        <f>J338</f>
        <v>4322</v>
      </c>
      <c r="K352" s="47">
        <f>K338+K351</f>
        <v>118.68</v>
      </c>
      <c r="L352" s="41">
        <f>L338+L351</f>
        <v>21145.52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2303.39</v>
      </c>
      <c r="I358" s="18">
        <v>22.87</v>
      </c>
      <c r="J358" s="18"/>
      <c r="K358" s="18"/>
      <c r="L358" s="13">
        <f>SUM(F358:K358)</f>
        <v>2326.2599999999998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2303.39</v>
      </c>
      <c r="I362" s="47">
        <f t="shared" si="22"/>
        <v>22.87</v>
      </c>
      <c r="J362" s="47">
        <f t="shared" si="22"/>
        <v>0</v>
      </c>
      <c r="K362" s="47">
        <f t="shared" si="22"/>
        <v>0</v>
      </c>
      <c r="L362" s="47">
        <f t="shared" si="22"/>
        <v>2326.2599999999998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22.87</v>
      </c>
      <c r="G368" s="63"/>
      <c r="H368" s="63"/>
      <c r="I368" s="56">
        <f>SUM(F368:H368)</f>
        <v>22.87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22.87</v>
      </c>
      <c r="G369" s="47">
        <f>SUM(G367:G368)</f>
        <v>0</v>
      </c>
      <c r="H369" s="47">
        <f>SUM(H367:H368)</f>
        <v>0</v>
      </c>
      <c r="I369" s="47">
        <f>SUM(I367:I368)</f>
        <v>22.87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>
        <v>172.48</v>
      </c>
      <c r="I389" s="18"/>
      <c r="J389" s="24" t="s">
        <v>289</v>
      </c>
      <c r="K389" s="24" t="s">
        <v>289</v>
      </c>
      <c r="L389" s="56">
        <f t="shared" si="25"/>
        <v>25172.48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172.48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25172.48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>
        <v>430.99</v>
      </c>
      <c r="I398" s="18"/>
      <c r="J398" s="24" t="s">
        <v>289</v>
      </c>
      <c r="K398" s="24" t="s">
        <v>289</v>
      </c>
      <c r="L398" s="56">
        <f t="shared" si="26"/>
        <v>25430.99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25000</v>
      </c>
      <c r="H400" s="18">
        <v>77.31</v>
      </c>
      <c r="I400" s="18"/>
      <c r="J400" s="24" t="s">
        <v>289</v>
      </c>
      <c r="K400" s="24" t="s">
        <v>289</v>
      </c>
      <c r="L400" s="56">
        <f t="shared" si="26"/>
        <v>25077.31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508.3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50508.3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680.78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75680.78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100206.05</v>
      </c>
      <c r="G440" s="18">
        <f>236398.61+50089.76</f>
        <v>286488.37</v>
      </c>
      <c r="H440" s="18"/>
      <c r="I440" s="56">
        <f t="shared" si="33"/>
        <v>386694.42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100206.05</v>
      </c>
      <c r="G446" s="13">
        <f>SUM(G439:G445)</f>
        <v>286488.37</v>
      </c>
      <c r="H446" s="13">
        <f>SUM(H439:H445)</f>
        <v>0</v>
      </c>
      <c r="I446" s="13">
        <f>SUM(I439:I445)</f>
        <v>386694.42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100206.05</v>
      </c>
      <c r="G459" s="18">
        <v>286488.37</v>
      </c>
      <c r="H459" s="18"/>
      <c r="I459" s="56">
        <f t="shared" si="34"/>
        <v>386694.42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100206.05</v>
      </c>
      <c r="G460" s="83">
        <f>SUM(G454:G459)</f>
        <v>286488.37</v>
      </c>
      <c r="H460" s="83">
        <f>SUM(H454:H459)</f>
        <v>0</v>
      </c>
      <c r="I460" s="83">
        <f>SUM(I454:I459)</f>
        <v>386694.42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100206.05</v>
      </c>
      <c r="G461" s="42">
        <f>G452+G460</f>
        <v>286488.37</v>
      </c>
      <c r="H461" s="42">
        <f>H452+H460</f>
        <v>0</v>
      </c>
      <c r="I461" s="42">
        <f>I452+I460</f>
        <v>386694.42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166263.47</v>
      </c>
      <c r="G465" s="18"/>
      <c r="H465" s="18"/>
      <c r="I465" s="18"/>
      <c r="J465" s="18">
        <v>311013.64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1443418.06</v>
      </c>
      <c r="G468" s="18">
        <v>2326.2600000000002</v>
      </c>
      <c r="H468" s="18">
        <v>21145.52</v>
      </c>
      <c r="I468" s="18"/>
      <c r="J468" s="18">
        <v>75680.78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1443418.06</v>
      </c>
      <c r="G470" s="53">
        <f>SUM(G468:G469)</f>
        <v>2326.2600000000002</v>
      </c>
      <c r="H470" s="53">
        <f>SUM(H468:H469)</f>
        <v>21145.52</v>
      </c>
      <c r="I470" s="53">
        <f>SUM(I468:I469)</f>
        <v>0</v>
      </c>
      <c r="J470" s="53">
        <f>SUM(J468:J469)</f>
        <v>75680.78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859291.05+364023.81+386104.17</f>
        <v>1609419.03</v>
      </c>
      <c r="G472" s="18">
        <v>2326.2600000000002</v>
      </c>
      <c r="H472" s="18">
        <v>21145.52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1609419.03</v>
      </c>
      <c r="G474" s="53">
        <f>SUM(G472:G473)</f>
        <v>2326.2600000000002</v>
      </c>
      <c r="H474" s="53">
        <f>SUM(H472:H473)</f>
        <v>21145.52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262.5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386694.42000000004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31987.06+44468.04</f>
        <v>76455.100000000006</v>
      </c>
      <c r="G521" s="18">
        <f>17782.67+1433.17+62.7+116.42+5726.87+4529.44+298.2</f>
        <v>29949.469999999994</v>
      </c>
      <c r="H521" s="18">
        <v>33116</v>
      </c>
      <c r="I521" s="18">
        <f>73.38+18.5+176.22</f>
        <v>268.10000000000002</v>
      </c>
      <c r="J521" s="18"/>
      <c r="K521" s="18"/>
      <c r="L521" s="88">
        <f>SUM(F521:K521)</f>
        <v>139788.67000000001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171514.23999999999</v>
      </c>
      <c r="I522" s="18"/>
      <c r="J522" s="18"/>
      <c r="K522" s="18"/>
      <c r="L522" s="88">
        <f>SUM(F522:K522)</f>
        <v>171514.23999999999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119380</v>
      </c>
      <c r="I523" s="18"/>
      <c r="J523" s="18"/>
      <c r="K523" s="18"/>
      <c r="L523" s="88">
        <f>SUM(F523:K523)</f>
        <v>119380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76455.100000000006</v>
      </c>
      <c r="G524" s="108">
        <f t="shared" ref="G524:L524" si="36">SUM(G521:G523)</f>
        <v>29949.469999999994</v>
      </c>
      <c r="H524" s="108">
        <f t="shared" si="36"/>
        <v>324010.23999999999</v>
      </c>
      <c r="I524" s="108">
        <f t="shared" si="36"/>
        <v>268.10000000000002</v>
      </c>
      <c r="J524" s="108">
        <f t="shared" si="36"/>
        <v>0</v>
      </c>
      <c r="K524" s="108">
        <f t="shared" si="36"/>
        <v>0</v>
      </c>
      <c r="L524" s="89">
        <f t="shared" si="36"/>
        <v>430682.91000000003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4780.48+1196.25+3223.75+14640.15+20667+4000</f>
        <v>48507.63</v>
      </c>
      <c r="I526" s="18"/>
      <c r="J526" s="18"/>
      <c r="K526" s="18"/>
      <c r="L526" s="88">
        <f>SUM(F526:K526)</f>
        <v>48507.63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48507.63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48507.63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5786</v>
      </c>
      <c r="I531" s="18"/>
      <c r="J531" s="18"/>
      <c r="K531" s="18"/>
      <c r="L531" s="88">
        <f>SUM(F531:K531)</f>
        <v>5786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5786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5786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13826.36</v>
      </c>
      <c r="I541" s="18"/>
      <c r="J541" s="18"/>
      <c r="K541" s="18"/>
      <c r="L541" s="88">
        <f>SUM(F541:K541)</f>
        <v>13826.36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11799.51</v>
      </c>
      <c r="I542" s="18"/>
      <c r="J542" s="18"/>
      <c r="K542" s="18"/>
      <c r="L542" s="88">
        <f>SUM(F542:K542)</f>
        <v>11799.51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25625.870000000003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25625.870000000003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76455.100000000006</v>
      </c>
      <c r="G545" s="89">
        <f t="shared" ref="G545:L545" si="41">G524+G529+G534+G539+G544</f>
        <v>29949.469999999994</v>
      </c>
      <c r="H545" s="89">
        <f t="shared" si="41"/>
        <v>403929.74</v>
      </c>
      <c r="I545" s="89">
        <f t="shared" si="41"/>
        <v>268.10000000000002</v>
      </c>
      <c r="J545" s="89">
        <f t="shared" si="41"/>
        <v>0</v>
      </c>
      <c r="K545" s="89">
        <f t="shared" si="41"/>
        <v>0</v>
      </c>
      <c r="L545" s="89">
        <f t="shared" si="41"/>
        <v>510602.41000000003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139788.67000000001</v>
      </c>
      <c r="G549" s="87">
        <f>L526</f>
        <v>48507.63</v>
      </c>
      <c r="H549" s="87">
        <f>L531</f>
        <v>5786</v>
      </c>
      <c r="I549" s="87">
        <f>L536</f>
        <v>0</v>
      </c>
      <c r="J549" s="87">
        <f>L541</f>
        <v>13826.36</v>
      </c>
      <c r="K549" s="87">
        <f>SUM(F549:J549)</f>
        <v>207908.66000000003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171514.23999999999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11799.51</v>
      </c>
      <c r="K550" s="87">
        <f>SUM(F550:J550)</f>
        <v>183313.75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119380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119380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430682.91000000003</v>
      </c>
      <c r="G552" s="89">
        <f t="shared" si="42"/>
        <v>48507.63</v>
      </c>
      <c r="H552" s="89">
        <f t="shared" si="42"/>
        <v>5786</v>
      </c>
      <c r="I552" s="89">
        <f t="shared" si="42"/>
        <v>0</v>
      </c>
      <c r="J552" s="89">
        <f t="shared" si="42"/>
        <v>25625.870000000003</v>
      </c>
      <c r="K552" s="89">
        <f t="shared" si="42"/>
        <v>510602.41000000003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171263.78</v>
      </c>
      <c r="H575" s="18">
        <v>247631.29</v>
      </c>
      <c r="I575" s="87">
        <f>SUM(F575:H575)</f>
        <v>418895.07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112184</v>
      </c>
      <c r="H579" s="18">
        <v>119380</v>
      </c>
      <c r="I579" s="87">
        <f t="shared" si="47"/>
        <v>231564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33116</v>
      </c>
      <c r="G580" s="18"/>
      <c r="H580" s="18"/>
      <c r="I580" s="87">
        <f t="shared" si="47"/>
        <v>33116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59330.239999999998</v>
      </c>
      <c r="H582" s="18"/>
      <c r="I582" s="87">
        <f t="shared" si="47"/>
        <v>59330.239999999998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35004.44</v>
      </c>
      <c r="I591" s="18">
        <v>9446.2800000000007</v>
      </c>
      <c r="J591" s="18">
        <v>19092.88</v>
      </c>
      <c r="K591" s="104">
        <f t="shared" ref="K591:K597" si="48">SUM(H591:J591)</f>
        <v>63543.600000000006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13826.36</v>
      </c>
      <c r="I592" s="18">
        <v>11799.51</v>
      </c>
      <c r="J592" s="18"/>
      <c r="K592" s="104">
        <f t="shared" si="48"/>
        <v>25625.870000000003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48830.8</v>
      </c>
      <c r="I598" s="108">
        <f>SUM(I591:I597)</f>
        <v>21245.79</v>
      </c>
      <c r="J598" s="108">
        <f>SUM(J591:J597)</f>
        <v>19092.88</v>
      </c>
      <c r="K598" s="108">
        <f>SUM(K591:K597)</f>
        <v>89169.47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5138.49</v>
      </c>
      <c r="I604" s="18"/>
      <c r="J604" s="18"/>
      <c r="K604" s="104">
        <f>SUM(H604:J604)</f>
        <v>5138.49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5138.49</v>
      </c>
      <c r="I605" s="108">
        <f>SUM(I602:I604)</f>
        <v>0</v>
      </c>
      <c r="J605" s="108">
        <f>SUM(J602:J604)</f>
        <v>0</v>
      </c>
      <c r="K605" s="108">
        <f>SUM(K602:K604)</f>
        <v>5138.49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10260.959999999999</v>
      </c>
      <c r="H617" s="109">
        <f>SUM(F52)</f>
        <v>10260.959999999999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7644.12</v>
      </c>
      <c r="H619" s="109">
        <f>SUM(H52)</f>
        <v>7644.1200000000008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386694.42</v>
      </c>
      <c r="H621" s="109">
        <f>SUM(J52)</f>
        <v>386694.42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262.5</v>
      </c>
      <c r="H622" s="109">
        <f>F476</f>
        <v>262.5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386694.42</v>
      </c>
      <c r="H626" s="109">
        <f>J476</f>
        <v>386694.42000000004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1443418.06</v>
      </c>
      <c r="H627" s="104">
        <f>SUM(F468)</f>
        <v>1443418.06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2326.2600000000002</v>
      </c>
      <c r="H628" s="104">
        <f>SUM(G468)</f>
        <v>2326.2600000000002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21145.52</v>
      </c>
      <c r="H629" s="104">
        <f>SUM(H468)</f>
        <v>21145.52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75680.78</v>
      </c>
      <c r="H631" s="104">
        <f>SUM(J468)</f>
        <v>75680.78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1609419.03</v>
      </c>
      <c r="H632" s="104">
        <f>SUM(F472)</f>
        <v>1609419.03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21145.52</v>
      </c>
      <c r="H633" s="104">
        <f>SUM(H472)</f>
        <v>21145.52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22.87</v>
      </c>
      <c r="H634" s="104">
        <f>I369</f>
        <v>22.87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2326.2599999999998</v>
      </c>
      <c r="H635" s="104">
        <f>SUM(G472)</f>
        <v>2326.2600000000002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75680.78</v>
      </c>
      <c r="H637" s="164">
        <f>SUM(J468)</f>
        <v>75680.78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100206.05</v>
      </c>
      <c r="H639" s="104">
        <f>SUM(F461)</f>
        <v>100206.05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286488.37</v>
      </c>
      <c r="H640" s="104">
        <f>SUM(G461)</f>
        <v>286488.37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386694.42</v>
      </c>
      <c r="H642" s="104">
        <f>SUM(I461)</f>
        <v>386694.42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680.78</v>
      </c>
      <c r="H644" s="104">
        <f>H408</f>
        <v>680.78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75680.78</v>
      </c>
      <c r="H646" s="104">
        <f>L408</f>
        <v>75680.78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89169.47</v>
      </c>
      <c r="H647" s="104">
        <f>L208+L226+L244</f>
        <v>89169.47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5138.49</v>
      </c>
      <c r="H648" s="104">
        <f>(J257+J338)-(J255+J336)</f>
        <v>5138.49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48830.8</v>
      </c>
      <c r="H649" s="104">
        <f>H598</f>
        <v>48830.8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21245.79</v>
      </c>
      <c r="H650" s="104">
        <f>I598</f>
        <v>21245.79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19092.88</v>
      </c>
      <c r="H651" s="104">
        <f>J598</f>
        <v>19092.88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2326.2600000000002</v>
      </c>
      <c r="H652" s="104">
        <f>K263+K345</f>
        <v>2326.2600000000002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805436.57000000007</v>
      </c>
      <c r="G660" s="19">
        <f>(L229+L309+L359)</f>
        <v>364023.81</v>
      </c>
      <c r="H660" s="19">
        <f>(L247+L328+L360)</f>
        <v>386104.17000000004</v>
      </c>
      <c r="I660" s="19">
        <f>SUM(F660:H660)</f>
        <v>1555564.5500000003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48830.8</v>
      </c>
      <c r="G662" s="19">
        <f>(L226+L306)-(J226+J306)</f>
        <v>21245.79</v>
      </c>
      <c r="H662" s="19">
        <f>(L244+L325)-(J244+J325)</f>
        <v>19092.88</v>
      </c>
      <c r="I662" s="19">
        <f>SUM(F662:H662)</f>
        <v>89169.47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38254.49</v>
      </c>
      <c r="G663" s="199">
        <f>SUM(G575:G587)+SUM(I602:I604)+L612</f>
        <v>342778.02</v>
      </c>
      <c r="H663" s="199">
        <f>SUM(H575:H587)+SUM(J602:J604)+L613</f>
        <v>367011.29000000004</v>
      </c>
      <c r="I663" s="19">
        <f>SUM(F663:H663)</f>
        <v>748043.8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718351.28</v>
      </c>
      <c r="G664" s="19">
        <f>G660-SUM(G661:G663)</f>
        <v>0</v>
      </c>
      <c r="H664" s="19">
        <f>H660-SUM(H661:H663)</f>
        <v>0</v>
      </c>
      <c r="I664" s="19">
        <f>I660-SUM(I661:I663)</f>
        <v>718351.28000000026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33.869999999999997</v>
      </c>
      <c r="G665" s="248"/>
      <c r="H665" s="248"/>
      <c r="I665" s="19">
        <f>SUM(F665:H665)</f>
        <v>33.869999999999997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21209.07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21209.07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21209.07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21209.07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MARLOW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170738.56</v>
      </c>
      <c r="C9" s="229">
        <f>'DOE25'!G197+'DOE25'!G215+'DOE25'!G233+'DOE25'!G276+'DOE25'!G295+'DOE25'!G314</f>
        <v>78368.739999999991</v>
      </c>
    </row>
    <row r="10" spans="1:3" x14ac:dyDescent="0.2">
      <c r="A10" t="s">
        <v>779</v>
      </c>
      <c r="B10" s="240">
        <v>165444.96</v>
      </c>
      <c r="C10" s="240">
        <v>75938.990000000005</v>
      </c>
    </row>
    <row r="11" spans="1:3" x14ac:dyDescent="0.2">
      <c r="A11" t="s">
        <v>780</v>
      </c>
      <c r="B11" s="240">
        <v>5293.6</v>
      </c>
      <c r="C11" s="240">
        <v>2429.75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170738.56</v>
      </c>
      <c r="C13" s="231">
        <f>SUM(C10:C12)</f>
        <v>78368.740000000005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76455.100000000006</v>
      </c>
      <c r="C18" s="229">
        <f>'DOE25'!G198+'DOE25'!G216+'DOE25'!G234+'DOE25'!G277+'DOE25'!G296+'DOE25'!G315</f>
        <v>29949.469999999994</v>
      </c>
    </row>
    <row r="19" spans="1:3" x14ac:dyDescent="0.2">
      <c r="A19" t="s">
        <v>779</v>
      </c>
      <c r="B19" s="240">
        <v>31987.06</v>
      </c>
      <c r="C19" s="240">
        <v>12530.17</v>
      </c>
    </row>
    <row r="20" spans="1:3" x14ac:dyDescent="0.2">
      <c r="A20" t="s">
        <v>780</v>
      </c>
      <c r="B20" s="240">
        <v>44468.04</v>
      </c>
      <c r="C20" s="240">
        <v>17419.3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76455.100000000006</v>
      </c>
      <c r="C22" s="231">
        <f>SUM(C19:C21)</f>
        <v>29949.47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MARLOW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1106113.79</v>
      </c>
      <c r="D5" s="20">
        <f>SUM('DOE25'!L197:L200)+SUM('DOE25'!L215:L218)+SUM('DOE25'!L233:L236)-F5-G5</f>
        <v>1105442.68</v>
      </c>
      <c r="E5" s="243"/>
      <c r="F5" s="255">
        <f>SUM('DOE25'!J197:J200)+SUM('DOE25'!J215:J218)+SUM('DOE25'!J233:J236)</f>
        <v>81</v>
      </c>
      <c r="G5" s="53">
        <f>SUM('DOE25'!K197:K200)+SUM('DOE25'!K215:K218)+SUM('DOE25'!K233:K236)</f>
        <v>590.11</v>
      </c>
      <c r="H5" s="259"/>
    </row>
    <row r="6" spans="1:9" x14ac:dyDescent="0.2">
      <c r="A6" s="32">
        <v>2100</v>
      </c>
      <c r="B6" t="s">
        <v>801</v>
      </c>
      <c r="C6" s="245">
        <f t="shared" si="0"/>
        <v>96024.7</v>
      </c>
      <c r="D6" s="20">
        <f>'DOE25'!L202+'DOE25'!L220+'DOE25'!L238-F6-G6</f>
        <v>96024.7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10915.039999999999</v>
      </c>
      <c r="D7" s="20">
        <f>'DOE25'!L203+'DOE25'!L221+'DOE25'!L239-F7-G7</f>
        <v>10915.039999999999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51409</v>
      </c>
      <c r="D8" s="243"/>
      <c r="E8" s="20">
        <f>'DOE25'!L204+'DOE25'!L222+'DOE25'!L240-F8-G8-D9-D11</f>
        <v>51409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4119.9699999999993</v>
      </c>
      <c r="D9" s="244">
        <f>2079.62+50+1890.35+100</f>
        <v>4119.9699999999993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9431</v>
      </c>
      <c r="D11" s="244">
        <v>9431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113703.75</v>
      </c>
      <c r="D12" s="20">
        <f>'DOE25'!L205+'DOE25'!L223+'DOE25'!L241-F12-G12</f>
        <v>113603.76</v>
      </c>
      <c r="E12" s="243"/>
      <c r="F12" s="255">
        <f>'DOE25'!J205+'DOE25'!J223+'DOE25'!J241</f>
        <v>99.99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50854.55</v>
      </c>
      <c r="D14" s="20">
        <f>'DOE25'!L207+'DOE25'!L225+'DOE25'!L243-F14-G14</f>
        <v>50219.05</v>
      </c>
      <c r="E14" s="243"/>
      <c r="F14" s="255">
        <f>'DOE25'!J207+'DOE25'!J225+'DOE25'!J243</f>
        <v>635.5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89169.47</v>
      </c>
      <c r="D15" s="20">
        <f>'DOE25'!L208+'DOE25'!L226+'DOE25'!L244-F15-G15</f>
        <v>89169.47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351.5</v>
      </c>
      <c r="D16" s="243"/>
      <c r="E16" s="20">
        <f>'DOE25'!L209+'DOE25'!L227+'DOE25'!L245-F16-G16</f>
        <v>351.5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2326.2599999999998</v>
      </c>
      <c r="D29" s="20">
        <f>'DOE25'!L358+'DOE25'!L359+'DOE25'!L360-'DOE25'!I367-F29-G29</f>
        <v>2326.2599999999998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21145.52</v>
      </c>
      <c r="D31" s="20">
        <f>'DOE25'!L290+'DOE25'!L309+'DOE25'!L328+'DOE25'!L333+'DOE25'!L334+'DOE25'!L335-F31-G31</f>
        <v>16704.84</v>
      </c>
      <c r="E31" s="243"/>
      <c r="F31" s="255">
        <f>'DOE25'!J290+'DOE25'!J309+'DOE25'!J328+'DOE25'!J333+'DOE25'!J334+'DOE25'!J335</f>
        <v>4322</v>
      </c>
      <c r="G31" s="53">
        <f>'DOE25'!K290+'DOE25'!K309+'DOE25'!K328+'DOE25'!K333+'DOE25'!K334+'DOE25'!K335</f>
        <v>118.68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1497956.77</v>
      </c>
      <c r="E33" s="246">
        <f>SUM(E5:E31)</f>
        <v>57510.5</v>
      </c>
      <c r="F33" s="246">
        <f>SUM(F5:F31)</f>
        <v>5138.49</v>
      </c>
      <c r="G33" s="246">
        <f>SUM(G5:G31)</f>
        <v>708.79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57510.5</v>
      </c>
      <c r="E35" s="249"/>
    </row>
    <row r="36" spans="2:8" ht="12" thickTop="1" x14ac:dyDescent="0.2">
      <c r="B36" t="s">
        <v>815</v>
      </c>
      <c r="D36" s="20">
        <f>D33</f>
        <v>1497956.77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-5990.24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386694.42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7436.56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8814.64</v>
      </c>
      <c r="D12" s="95">
        <f>'DOE25'!G13</f>
        <v>0</v>
      </c>
      <c r="E12" s="95">
        <f>'DOE25'!H13</f>
        <v>7644.12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10260.959999999999</v>
      </c>
      <c r="D18" s="41">
        <f>SUM(D8:D17)</f>
        <v>0</v>
      </c>
      <c r="E18" s="41">
        <f>SUM(E8:E17)</f>
        <v>7644.12</v>
      </c>
      <c r="F18" s="41">
        <f>SUM(F8:F17)</f>
        <v>0</v>
      </c>
      <c r="G18" s="41">
        <f>SUM(G8:G17)</f>
        <v>386694.42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7436.56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2093.27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3342.93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4562.26</v>
      </c>
      <c r="D27" s="95">
        <f>'DOE25'!G28</f>
        <v>0</v>
      </c>
      <c r="E27" s="95">
        <f>'DOE25'!H28</f>
        <v>207.56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9998.4599999999991</v>
      </c>
      <c r="D31" s="41">
        <f>SUM(D21:D30)</f>
        <v>0</v>
      </c>
      <c r="E31" s="41">
        <f>SUM(E21:E30)</f>
        <v>7644.1200000000008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262.5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386694.42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262.5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386694.42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10260.959999999999</v>
      </c>
      <c r="D51" s="41">
        <f>D50+D31</f>
        <v>0</v>
      </c>
      <c r="E51" s="41">
        <f>E50+E31</f>
        <v>7644.1200000000008</v>
      </c>
      <c r="F51" s="41">
        <f>F50+F31</f>
        <v>0</v>
      </c>
      <c r="G51" s="41">
        <f>G50+G31</f>
        <v>386694.42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619738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163.5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680.78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18552.239999999998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18715.739999999998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680.78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638453.74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680.78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618350.43999999994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133493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751843.44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4189.55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4189.55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756032.99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7306.26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45542.21</v>
      </c>
      <c r="D88" s="95">
        <f>SUM('DOE25'!G153:G161)</f>
        <v>0</v>
      </c>
      <c r="E88" s="95">
        <f>SUM('DOE25'!H153:H161)</f>
        <v>13839.26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45542.21</v>
      </c>
      <c r="D91" s="131">
        <f>SUM(D85:D90)</f>
        <v>0</v>
      </c>
      <c r="E91" s="131">
        <f>SUM(E85:E90)</f>
        <v>21145.52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2326.2600000000002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3389.12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3389.12</v>
      </c>
      <c r="D103" s="86">
        <f>SUM(D93:D102)</f>
        <v>2326.2600000000002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1443418.06</v>
      </c>
      <c r="D104" s="86">
        <f>D63+D81+D91+D103</f>
        <v>2326.2600000000002</v>
      </c>
      <c r="E104" s="86">
        <f>E63+E81+E91+E103</f>
        <v>21145.52</v>
      </c>
      <c r="F104" s="86">
        <f>F63+F81+F91+F103</f>
        <v>0</v>
      </c>
      <c r="G104" s="86">
        <f>G63+G81+G103</f>
        <v>75680.78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675607.1</v>
      </c>
      <c r="D109" s="24" t="s">
        <v>289</v>
      </c>
      <c r="E109" s="95">
        <f>('DOE25'!L276)+('DOE25'!L295)+('DOE25'!L314)</f>
        <v>12585.25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430506.69</v>
      </c>
      <c r="D110" s="24" t="s">
        <v>289</v>
      </c>
      <c r="E110" s="95">
        <f>('DOE25'!L277)+('DOE25'!L296)+('DOE25'!L315)</f>
        <v>176.22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888.71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1106113.79</v>
      </c>
      <c r="D115" s="86">
        <f>SUM(D109:D114)</f>
        <v>0</v>
      </c>
      <c r="E115" s="86">
        <f>SUM(E109:E114)</f>
        <v>13650.18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96024.7</v>
      </c>
      <c r="D118" s="24" t="s">
        <v>289</v>
      </c>
      <c r="E118" s="95">
        <f>+('DOE25'!L281)+('DOE25'!L300)+('DOE25'!L319)</f>
        <v>685.39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10915.039999999999</v>
      </c>
      <c r="D119" s="24" t="s">
        <v>289</v>
      </c>
      <c r="E119" s="95">
        <f>+('DOE25'!L282)+('DOE25'!L301)+('DOE25'!L320)</f>
        <v>5831.27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64959.97</v>
      </c>
      <c r="D120" s="24" t="s">
        <v>289</v>
      </c>
      <c r="E120" s="95">
        <f>+('DOE25'!L283)+('DOE25'!L302)+('DOE25'!L321)</f>
        <v>860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113703.75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118.68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50854.55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89169.47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351.5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2326.2599999999998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425978.98</v>
      </c>
      <c r="D128" s="86">
        <f>SUM(D118:D127)</f>
        <v>2326.2599999999998</v>
      </c>
      <c r="E128" s="86">
        <f>SUM(E118:E127)</f>
        <v>7495.3400000000011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2326.2600000000002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25172.48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50508.3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-680.77999999999884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77326.260000000009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1609419.03</v>
      </c>
      <c r="D145" s="86">
        <f>(D115+D128+D144)</f>
        <v>2326.2599999999998</v>
      </c>
      <c r="E145" s="86">
        <f>(E115+E128+E144)</f>
        <v>21145.52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MARLOW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21209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21209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688192</v>
      </c>
      <c r="D10" s="182">
        <f>ROUND((C10/$C$28)*100,1)</f>
        <v>44.2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430683</v>
      </c>
      <c r="D11" s="182">
        <f>ROUND((C11/$C$28)*100,1)</f>
        <v>27.7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889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96710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16746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66171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113704</v>
      </c>
      <c r="D18" s="182">
        <f t="shared" si="0"/>
        <v>7.3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50855</v>
      </c>
      <c r="D20" s="182">
        <f t="shared" si="0"/>
        <v>3.3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89169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2326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1555564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1555564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619738</v>
      </c>
      <c r="D35" s="182">
        <f t="shared" ref="D35:D40" si="1">ROUND((C35/$C$41)*100,1)</f>
        <v>42.4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19396.520000000019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751843</v>
      </c>
      <c r="D37" s="182">
        <f t="shared" si="1"/>
        <v>51.4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4190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66688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1461855.52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MARLOW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2014-09-19T17:42:43Z</cp:lastPrinted>
  <dcterms:created xsi:type="dcterms:W3CDTF">1997-12-04T19:04:30Z</dcterms:created>
  <dcterms:modified xsi:type="dcterms:W3CDTF">2014-09-29T18:05:02Z</dcterms:modified>
</cp:coreProperties>
</file>