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A70A" lockStructure="1"/>
  <bookViews>
    <workbookView xWindow="-15" yWindow="45" windowWidth="10320" windowHeight="7815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50" i="1" l="1"/>
  <c r="J468" i="1" l="1"/>
  <c r="G440" i="1"/>
  <c r="F501" i="1" l="1"/>
  <c r="F499" i="1"/>
  <c r="F498" i="1"/>
  <c r="F502" i="1" s="1"/>
  <c r="H591" i="1" l="1"/>
  <c r="H13" i="1"/>
  <c r="H22" i="1"/>
  <c r="G22" i="1"/>
  <c r="G276" i="1" l="1"/>
  <c r="H102" i="1" l="1"/>
  <c r="F110" i="1"/>
  <c r="F160" i="1"/>
  <c r="F77" i="1"/>
  <c r="F70" i="1"/>
  <c r="G99" i="1" l="1"/>
  <c r="G97" i="1"/>
  <c r="F14" i="1"/>
  <c r="C45" i="2" l="1"/>
  <c r="F51" i="1"/>
  <c r="C37" i="10" l="1"/>
  <c r="F40" i="2" l="1"/>
  <c r="D39" i="2"/>
  <c r="G655" i="1"/>
  <c r="F48" i="2"/>
  <c r="E48" i="2"/>
  <c r="D48" i="2"/>
  <c r="C48" i="2"/>
  <c r="F47" i="2"/>
  <c r="E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C111" i="2" s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L226" i="1"/>
  <c r="G650" i="1" s="1"/>
  <c r="L244" i="1"/>
  <c r="F17" i="13"/>
  <c r="G17" i="13"/>
  <c r="L251" i="1"/>
  <c r="F18" i="13"/>
  <c r="G18" i="13"/>
  <c r="L252" i="1"/>
  <c r="F19" i="13"/>
  <c r="G19" i="13"/>
  <c r="L253" i="1"/>
  <c r="D19" i="13" s="1"/>
  <c r="C19" i="13" s="1"/>
  <c r="F29" i="13"/>
  <c r="G29" i="13"/>
  <c r="L358" i="1"/>
  <c r="L359" i="1"/>
  <c r="F661" i="1" s="1"/>
  <c r="L360" i="1"/>
  <c r="I367" i="1"/>
  <c r="J290" i="1"/>
  <c r="J309" i="1"/>
  <c r="J328" i="1"/>
  <c r="K290" i="1"/>
  <c r="K309" i="1"/>
  <c r="K328" i="1"/>
  <c r="L276" i="1"/>
  <c r="L277" i="1"/>
  <c r="L278" i="1"/>
  <c r="L279" i="1"/>
  <c r="E112" i="2" s="1"/>
  <c r="L281" i="1"/>
  <c r="L282" i="1"/>
  <c r="L283" i="1"/>
  <c r="L284" i="1"/>
  <c r="E121" i="2" s="1"/>
  <c r="L285" i="1"/>
  <c r="L286" i="1"/>
  <c r="E123" i="2" s="1"/>
  <c r="L287" i="1"/>
  <c r="F662" i="1" s="1"/>
  <c r="L288" i="1"/>
  <c r="E125" i="2" s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E114" i="2" s="1"/>
  <c r="L335" i="1"/>
  <c r="L260" i="1"/>
  <c r="C131" i="2" s="1"/>
  <c r="L261" i="1"/>
  <c r="C25" i="10" s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A31" i="12" s="1"/>
  <c r="B31" i="12"/>
  <c r="C31" i="12"/>
  <c r="B9" i="12"/>
  <c r="B13" i="12"/>
  <c r="C9" i="12"/>
  <c r="C13" i="12"/>
  <c r="B18" i="12"/>
  <c r="B22" i="12"/>
  <c r="C18" i="12"/>
  <c r="C22" i="12"/>
  <c r="B1" i="12"/>
  <c r="L387" i="1"/>
  <c r="L393" i="1" s="1"/>
  <c r="C138" i="2" s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2" i="2" s="1"/>
  <c r="G61" i="2"/>
  <c r="F2" i="11"/>
  <c r="L613" i="1"/>
  <c r="H663" i="1" s="1"/>
  <c r="L612" i="1"/>
  <c r="G663" i="1" s="1"/>
  <c r="L611" i="1"/>
  <c r="F663" i="1" s="1"/>
  <c r="C40" i="10"/>
  <c r="F60" i="1"/>
  <c r="G60" i="1"/>
  <c r="D56" i="2" s="1"/>
  <c r="H60" i="1"/>
  <c r="I60" i="1"/>
  <c r="F56" i="2" s="1"/>
  <c r="F79" i="1"/>
  <c r="C57" i="2" s="1"/>
  <c r="F94" i="1"/>
  <c r="C58" i="2" s="1"/>
  <c r="F111" i="1"/>
  <c r="G111" i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40" i="1" s="1"/>
  <c r="H136" i="1"/>
  <c r="I121" i="1"/>
  <c r="I136" i="1"/>
  <c r="J121" i="1"/>
  <c r="J140" i="1" s="1"/>
  <c r="J136" i="1"/>
  <c r="F147" i="1"/>
  <c r="F162" i="1"/>
  <c r="G147" i="1"/>
  <c r="D85" i="2" s="1"/>
  <c r="G162" i="1"/>
  <c r="H147" i="1"/>
  <c r="H162" i="1"/>
  <c r="I147" i="1"/>
  <c r="F85" i="2" s="1"/>
  <c r="I162" i="1"/>
  <c r="L250" i="1"/>
  <c r="L332" i="1"/>
  <c r="L254" i="1"/>
  <c r="L268" i="1"/>
  <c r="L269" i="1"/>
  <c r="C26" i="10" s="1"/>
  <c r="L349" i="1"/>
  <c r="L350" i="1"/>
  <c r="E143" i="2" s="1"/>
  <c r="I665" i="1"/>
  <c r="I670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I552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A1" i="2"/>
  <c r="A2" i="2"/>
  <c r="C8" i="2"/>
  <c r="D8" i="2"/>
  <c r="D18" i="2" s="1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G36" i="2" s="1"/>
  <c r="I459" i="1"/>
  <c r="J48" i="1" s="1"/>
  <c r="G47" i="2" s="1"/>
  <c r="C49" i="2"/>
  <c r="E56" i="2"/>
  <c r="E57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8" i="2" s="1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D81" i="2" s="1"/>
  <c r="E79" i="2"/>
  <c r="C80" i="2"/>
  <c r="E80" i="2"/>
  <c r="C85" i="2"/>
  <c r="C91" i="2" s="1"/>
  <c r="E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E103" i="2" s="1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E111" i="2"/>
  <c r="C113" i="2"/>
  <c r="E113" i="2"/>
  <c r="C114" i="2"/>
  <c r="D115" i="2"/>
  <c r="F115" i="2"/>
  <c r="G115" i="2"/>
  <c r="E122" i="2"/>
  <c r="E124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G619" i="1" s="1"/>
  <c r="I19" i="1"/>
  <c r="F32" i="1"/>
  <c r="F52" i="1" s="1"/>
  <c r="H617" i="1" s="1"/>
  <c r="G32" i="1"/>
  <c r="H32" i="1"/>
  <c r="I32" i="1"/>
  <c r="H51" i="1"/>
  <c r="G624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L256" i="1" s="1"/>
  <c r="H256" i="1"/>
  <c r="I256" i="1"/>
  <c r="J256" i="1"/>
  <c r="K256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J362" i="1"/>
  <c r="K362" i="1"/>
  <c r="I368" i="1"/>
  <c r="F369" i="1"/>
  <c r="G369" i="1"/>
  <c r="H369" i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7" i="1" s="1"/>
  <c r="L423" i="1"/>
  <c r="L424" i="1"/>
  <c r="L425" i="1"/>
  <c r="L426" i="1"/>
  <c r="F427" i="1"/>
  <c r="G427" i="1"/>
  <c r="H427" i="1"/>
  <c r="I427" i="1"/>
  <c r="J427" i="1"/>
  <c r="L429" i="1"/>
  <c r="L433" i="1" s="1"/>
  <c r="L430" i="1"/>
  <c r="L431" i="1"/>
  <c r="L432" i="1"/>
  <c r="F433" i="1"/>
  <c r="G433" i="1"/>
  <c r="H433" i="1"/>
  <c r="I433" i="1"/>
  <c r="J433" i="1"/>
  <c r="F446" i="1"/>
  <c r="G446" i="1"/>
  <c r="G640" i="1" s="1"/>
  <c r="H446" i="1"/>
  <c r="F452" i="1"/>
  <c r="G452" i="1"/>
  <c r="H452" i="1"/>
  <c r="F460" i="1"/>
  <c r="G460" i="1"/>
  <c r="H460" i="1"/>
  <c r="F461" i="1"/>
  <c r="G461" i="1"/>
  <c r="H640" i="1" s="1"/>
  <c r="H461" i="1"/>
  <c r="H641" i="1" s="1"/>
  <c r="I470" i="1"/>
  <c r="J470" i="1"/>
  <c r="I474" i="1"/>
  <c r="J474" i="1"/>
  <c r="K495" i="1"/>
  <c r="K496" i="1"/>
  <c r="K497" i="1"/>
  <c r="K498" i="1"/>
  <c r="K499" i="1"/>
  <c r="K500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L524" i="1"/>
  <c r="F529" i="1"/>
  <c r="G529" i="1"/>
  <c r="H529" i="1"/>
  <c r="I529" i="1"/>
  <c r="I545" i="1" s="1"/>
  <c r="J529" i="1"/>
  <c r="K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57" i="1"/>
  <c r="L558" i="1"/>
  <c r="L560" i="1" s="1"/>
  <c r="L559" i="1"/>
  <c r="F560" i="1"/>
  <c r="G560" i="1"/>
  <c r="H560" i="1"/>
  <c r="I560" i="1"/>
  <c r="J560" i="1"/>
  <c r="J571" i="1" s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70" i="1" s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20" i="1"/>
  <c r="G622" i="1"/>
  <c r="G625" i="1"/>
  <c r="H630" i="1"/>
  <c r="H631" i="1"/>
  <c r="G634" i="1"/>
  <c r="H636" i="1"/>
  <c r="H637" i="1"/>
  <c r="H638" i="1"/>
  <c r="G639" i="1"/>
  <c r="H639" i="1"/>
  <c r="G641" i="1"/>
  <c r="J641" i="1" s="1"/>
  <c r="G643" i="1"/>
  <c r="H643" i="1"/>
  <c r="J643" i="1" s="1"/>
  <c r="G644" i="1"/>
  <c r="G645" i="1"/>
  <c r="G649" i="1"/>
  <c r="G651" i="1"/>
  <c r="G652" i="1"/>
  <c r="H652" i="1"/>
  <c r="G653" i="1"/>
  <c r="H653" i="1"/>
  <c r="G654" i="1"/>
  <c r="H654" i="1"/>
  <c r="H655" i="1"/>
  <c r="F192" i="1"/>
  <c r="G164" i="2"/>
  <c r="L351" i="1"/>
  <c r="D18" i="13"/>
  <c r="C18" i="13" s="1"/>
  <c r="D17" i="13"/>
  <c r="C17" i="13" s="1"/>
  <c r="F78" i="2"/>
  <c r="F81" i="2" s="1"/>
  <c r="F18" i="2"/>
  <c r="G156" i="2"/>
  <c r="E62" i="2"/>
  <c r="E63" i="2" s="1"/>
  <c r="E78" i="2"/>
  <c r="E81" i="2" s="1"/>
  <c r="H112" i="1"/>
  <c r="J639" i="1"/>
  <c r="K571" i="1"/>
  <c r="L419" i="1"/>
  <c r="I169" i="1"/>
  <c r="I476" i="1"/>
  <c r="H625" i="1" s="1"/>
  <c r="J625" i="1" s="1"/>
  <c r="F571" i="1"/>
  <c r="G22" i="2"/>
  <c r="C29" i="10"/>
  <c r="L401" i="1"/>
  <c r="C139" i="2" s="1"/>
  <c r="F22" i="13"/>
  <c r="C22" i="13" s="1"/>
  <c r="H571" i="1"/>
  <c r="H192" i="1"/>
  <c r="I571" i="1"/>
  <c r="L565" i="1"/>
  <c r="K545" i="1" l="1"/>
  <c r="H408" i="1"/>
  <c r="H644" i="1" s="1"/>
  <c r="J644" i="1" s="1"/>
  <c r="G408" i="1"/>
  <c r="H645" i="1" s="1"/>
  <c r="L382" i="1"/>
  <c r="G636" i="1" s="1"/>
  <c r="J636" i="1" s="1"/>
  <c r="I369" i="1"/>
  <c r="H634" i="1" s="1"/>
  <c r="G192" i="1"/>
  <c r="D62" i="2"/>
  <c r="D63" i="2" s="1"/>
  <c r="E31" i="2"/>
  <c r="H169" i="1"/>
  <c r="F169" i="1"/>
  <c r="H661" i="1"/>
  <c r="E8" i="13"/>
  <c r="C8" i="13" s="1"/>
  <c r="G157" i="2"/>
  <c r="G112" i="1"/>
  <c r="H25" i="13"/>
  <c r="C25" i="13" s="1"/>
  <c r="K605" i="1"/>
  <c r="G648" i="1" s="1"/>
  <c r="K503" i="1"/>
  <c r="I460" i="1"/>
  <c r="I452" i="1"/>
  <c r="L270" i="1"/>
  <c r="H662" i="1"/>
  <c r="J640" i="1"/>
  <c r="I446" i="1"/>
  <c r="G642" i="1" s="1"/>
  <c r="A40" i="12"/>
  <c r="A13" i="12"/>
  <c r="H552" i="1"/>
  <c r="J552" i="1"/>
  <c r="H545" i="1"/>
  <c r="L544" i="1"/>
  <c r="L539" i="1"/>
  <c r="K549" i="1"/>
  <c r="L534" i="1"/>
  <c r="G552" i="1"/>
  <c r="J545" i="1"/>
  <c r="G545" i="1"/>
  <c r="K550" i="1"/>
  <c r="L529" i="1"/>
  <c r="F552" i="1"/>
  <c r="K551" i="1"/>
  <c r="J645" i="1"/>
  <c r="J476" i="1"/>
  <c r="H626" i="1" s="1"/>
  <c r="L614" i="1"/>
  <c r="J651" i="1"/>
  <c r="K598" i="1"/>
  <c r="G647" i="1" s="1"/>
  <c r="J649" i="1"/>
  <c r="J655" i="1"/>
  <c r="J634" i="1"/>
  <c r="D127" i="2"/>
  <c r="D128" i="2" s="1"/>
  <c r="D145" i="2" s="1"/>
  <c r="G661" i="1"/>
  <c r="L362" i="1"/>
  <c r="D29" i="13"/>
  <c r="C29" i="13" s="1"/>
  <c r="L328" i="1"/>
  <c r="F338" i="1"/>
  <c r="F352" i="1" s="1"/>
  <c r="E120" i="2"/>
  <c r="E119" i="2"/>
  <c r="E118" i="2"/>
  <c r="L309" i="1"/>
  <c r="E110" i="2"/>
  <c r="E115" i="2" s="1"/>
  <c r="H338" i="1"/>
  <c r="H352" i="1" s="1"/>
  <c r="G338" i="1"/>
  <c r="G352" i="1" s="1"/>
  <c r="E109" i="2"/>
  <c r="C13" i="10"/>
  <c r="J338" i="1"/>
  <c r="J352" i="1" s="1"/>
  <c r="K338" i="1"/>
  <c r="K352" i="1" s="1"/>
  <c r="L290" i="1"/>
  <c r="C132" i="2"/>
  <c r="H33" i="13"/>
  <c r="C125" i="2"/>
  <c r="C123" i="2"/>
  <c r="C121" i="2"/>
  <c r="C17" i="10"/>
  <c r="C21" i="10"/>
  <c r="C124" i="2"/>
  <c r="G662" i="1"/>
  <c r="I662" i="1" s="1"/>
  <c r="D15" i="13"/>
  <c r="C15" i="13" s="1"/>
  <c r="C20" i="10"/>
  <c r="D14" i="13"/>
  <c r="C14" i="13" s="1"/>
  <c r="D12" i="13"/>
  <c r="C12" i="13" s="1"/>
  <c r="C19" i="10"/>
  <c r="C18" i="10"/>
  <c r="C120" i="2"/>
  <c r="C16" i="10"/>
  <c r="E16" i="13"/>
  <c r="C16" i="13" s="1"/>
  <c r="H647" i="1"/>
  <c r="E13" i="13"/>
  <c r="C13" i="13" s="1"/>
  <c r="C122" i="2"/>
  <c r="D7" i="13"/>
  <c r="C7" i="13" s="1"/>
  <c r="C119" i="2"/>
  <c r="D31" i="2"/>
  <c r="C11" i="10"/>
  <c r="L229" i="1"/>
  <c r="D91" i="2"/>
  <c r="C70" i="2"/>
  <c r="K257" i="1"/>
  <c r="K271" i="1" s="1"/>
  <c r="C15" i="10"/>
  <c r="C118" i="2"/>
  <c r="D6" i="13"/>
  <c r="C6" i="13" s="1"/>
  <c r="C112" i="2"/>
  <c r="C12" i="10"/>
  <c r="J257" i="1"/>
  <c r="J271" i="1" s="1"/>
  <c r="I257" i="1"/>
  <c r="I271" i="1" s="1"/>
  <c r="C110" i="2"/>
  <c r="C115" i="2" s="1"/>
  <c r="L247" i="1"/>
  <c r="F257" i="1"/>
  <c r="F271" i="1" s="1"/>
  <c r="H257" i="1"/>
  <c r="H271" i="1" s="1"/>
  <c r="G257" i="1"/>
  <c r="G271" i="1" s="1"/>
  <c r="D5" i="13"/>
  <c r="C5" i="13" s="1"/>
  <c r="C10" i="10"/>
  <c r="L211" i="1"/>
  <c r="I661" i="1"/>
  <c r="C81" i="2"/>
  <c r="C62" i="2"/>
  <c r="C63" i="2" s="1"/>
  <c r="F112" i="1"/>
  <c r="C35" i="10"/>
  <c r="C56" i="2"/>
  <c r="H52" i="1"/>
  <c r="H619" i="1" s="1"/>
  <c r="J619" i="1" s="1"/>
  <c r="J617" i="1"/>
  <c r="C18" i="2"/>
  <c r="L337" i="1"/>
  <c r="F62" i="2"/>
  <c r="F63" i="2" s="1"/>
  <c r="F104" i="2" s="1"/>
  <c r="C23" i="10"/>
  <c r="G163" i="2"/>
  <c r="G162" i="2"/>
  <c r="G160" i="2"/>
  <c r="G159" i="2"/>
  <c r="G158" i="2"/>
  <c r="G103" i="2"/>
  <c r="F103" i="2"/>
  <c r="C103" i="2"/>
  <c r="F91" i="2"/>
  <c r="E50" i="2"/>
  <c r="C50" i="2"/>
  <c r="F31" i="2"/>
  <c r="C31" i="2"/>
  <c r="E18" i="2"/>
  <c r="E144" i="2"/>
  <c r="F50" i="2"/>
  <c r="F51" i="2" s="1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E104" i="2" s="1"/>
  <c r="L408" i="1"/>
  <c r="G637" i="1" s="1"/>
  <c r="J637" i="1" s="1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F33" i="13" s="1"/>
  <c r="J193" i="1"/>
  <c r="G646" i="1" s="1"/>
  <c r="H193" i="1"/>
  <c r="G169" i="1"/>
  <c r="C39" i="10" s="1"/>
  <c r="G140" i="1"/>
  <c r="F140" i="1"/>
  <c r="G63" i="2"/>
  <c r="G42" i="2"/>
  <c r="J51" i="1"/>
  <c r="G16" i="2"/>
  <c r="J19" i="1"/>
  <c r="G621" i="1" s="1"/>
  <c r="G18" i="2"/>
  <c r="F545" i="1"/>
  <c r="H434" i="1"/>
  <c r="J620" i="1"/>
  <c r="D103" i="2"/>
  <c r="D104" i="2" s="1"/>
  <c r="I140" i="1"/>
  <c r="A22" i="12"/>
  <c r="G50" i="2"/>
  <c r="G51" i="2" s="1"/>
  <c r="J652" i="1"/>
  <c r="G571" i="1"/>
  <c r="I434" i="1"/>
  <c r="G434" i="1"/>
  <c r="I663" i="1"/>
  <c r="H646" i="1" l="1"/>
  <c r="E51" i="2"/>
  <c r="H660" i="1"/>
  <c r="H664" i="1" s="1"/>
  <c r="H667" i="1" s="1"/>
  <c r="I461" i="1"/>
  <c r="H642" i="1" s="1"/>
  <c r="J642" i="1" s="1"/>
  <c r="C27" i="10"/>
  <c r="G472" i="1"/>
  <c r="I193" i="1"/>
  <c r="G630" i="1" s="1"/>
  <c r="J630" i="1" s="1"/>
  <c r="L545" i="1"/>
  <c r="K552" i="1"/>
  <c r="J647" i="1"/>
  <c r="G104" i="2"/>
  <c r="G629" i="1"/>
  <c r="H468" i="1"/>
  <c r="G635" i="1"/>
  <c r="E128" i="2"/>
  <c r="E145" i="2" s="1"/>
  <c r="G660" i="1"/>
  <c r="G664" i="1" s="1"/>
  <c r="G672" i="1" s="1"/>
  <c r="C5" i="10" s="1"/>
  <c r="L338" i="1"/>
  <c r="L352" i="1" s="1"/>
  <c r="D31" i="13"/>
  <c r="C31" i="13" s="1"/>
  <c r="F660" i="1"/>
  <c r="E33" i="13"/>
  <c r="D35" i="13" s="1"/>
  <c r="C128" i="2"/>
  <c r="C145" i="2" s="1"/>
  <c r="C36" i="10"/>
  <c r="H648" i="1"/>
  <c r="J648" i="1" s="1"/>
  <c r="H672" i="1"/>
  <c r="C6" i="10" s="1"/>
  <c r="C28" i="10"/>
  <c r="D22" i="10" s="1"/>
  <c r="L257" i="1"/>
  <c r="L271" i="1" s="1"/>
  <c r="C104" i="2"/>
  <c r="F193" i="1"/>
  <c r="C51" i="2"/>
  <c r="G631" i="1"/>
  <c r="J631" i="1" s="1"/>
  <c r="J646" i="1"/>
  <c r="G193" i="1"/>
  <c r="G626" i="1"/>
  <c r="J626" i="1" s="1"/>
  <c r="J52" i="1"/>
  <c r="H621" i="1" s="1"/>
  <c r="J621" i="1" s="1"/>
  <c r="C38" i="10"/>
  <c r="G627" i="1" l="1"/>
  <c r="F468" i="1"/>
  <c r="J635" i="1"/>
  <c r="G474" i="1"/>
  <c r="H635" i="1"/>
  <c r="G633" i="1"/>
  <c r="H472" i="1"/>
  <c r="H629" i="1"/>
  <c r="J629" i="1" s="1"/>
  <c r="H470" i="1"/>
  <c r="G632" i="1"/>
  <c r="F472" i="1"/>
  <c r="G628" i="1"/>
  <c r="G468" i="1"/>
  <c r="I660" i="1"/>
  <c r="I664" i="1" s="1"/>
  <c r="I672" i="1" s="1"/>
  <c r="C7" i="10" s="1"/>
  <c r="G667" i="1"/>
  <c r="D33" i="13"/>
  <c r="D36" i="13" s="1"/>
  <c r="F664" i="1"/>
  <c r="F667" i="1" s="1"/>
  <c r="D12" i="10"/>
  <c r="D27" i="10"/>
  <c r="D24" i="10"/>
  <c r="D18" i="10"/>
  <c r="D17" i="10"/>
  <c r="D10" i="10"/>
  <c r="D26" i="10"/>
  <c r="C30" i="10"/>
  <c r="D16" i="10"/>
  <c r="D23" i="10"/>
  <c r="D20" i="10"/>
  <c r="D15" i="10"/>
  <c r="D25" i="10"/>
  <c r="D19" i="10"/>
  <c r="D13" i="10"/>
  <c r="D11" i="10"/>
  <c r="D21" i="10"/>
  <c r="C41" i="10"/>
  <c r="D38" i="10" s="1"/>
  <c r="F470" i="1" l="1"/>
  <c r="H627" i="1"/>
  <c r="J627" i="1" s="1"/>
  <c r="H633" i="1"/>
  <c r="J633" i="1" s="1"/>
  <c r="H474" i="1"/>
  <c r="H476" i="1"/>
  <c r="H624" i="1" s="1"/>
  <c r="J624" i="1" s="1"/>
  <c r="H632" i="1"/>
  <c r="J632" i="1" s="1"/>
  <c r="F474" i="1"/>
  <c r="H628" i="1"/>
  <c r="J628" i="1" s="1"/>
  <c r="G470" i="1"/>
  <c r="G476" i="1" s="1"/>
  <c r="H623" i="1" s="1"/>
  <c r="I667" i="1"/>
  <c r="F672" i="1"/>
  <c r="C4" i="10" s="1"/>
  <c r="D28" i="10"/>
  <c r="D37" i="10"/>
  <c r="D36" i="10"/>
  <c r="D35" i="10"/>
  <c r="D40" i="10"/>
  <c r="D39" i="10"/>
  <c r="F476" i="1" l="1"/>
  <c r="H622" i="1" s="1"/>
  <c r="J622" i="1" s="1"/>
  <c r="D41" i="10"/>
  <c r="G51" i="1"/>
  <c r="G52" i="1" s="1"/>
  <c r="H618" i="1" s="1"/>
  <c r="J618" i="1" s="1"/>
  <c r="D47" i="2"/>
  <c r="D50" i="2" s="1"/>
  <c r="D51" i="2" s="1"/>
  <c r="G623" i="1" l="1"/>
  <c r="J623" i="1" l="1"/>
  <c r="H656" i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<sst xmlns="http://schemas.openxmlformats.org/spreadsheetml/2006/main" count="3957" uniqueCount="915">
  <si>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</si>
  <si>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</si>
  <si>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</si>
  <si>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</si>
  <si>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</si>
  <si>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</si>
  <si>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</si>
  <si>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</si>
  <si>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</si>
  <si>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</si>
  <si>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</si>
  <si>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</si>
  <si>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</si>
  <si>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</si>
  <si>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</si>
  <si>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</si>
  <si>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</si>
  <si>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</si>
  <si>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</si>
  <si>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</si>
  <si>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</si>
  <si>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</si>
  <si>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</si>
  <si>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</si>
  <si>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</si>
  <si>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</si>
  <si>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</si>
  <si>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</si>
  <si>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</si>
  <si>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</si>
  <si>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</si>
  <si>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</si>
  <si>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</si>
  <si>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</si>
  <si>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</si>
  <si>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</si>
  <si>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</si>
  <si>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</si>
  <si>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</si>
  <si>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</si>
  <si>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</si>
  <si>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</si>
  <si>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</si>
  <si>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</si>
  <si>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</si>
  <si>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</si>
  <si>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</si>
  <si>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</si>
  <si>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</si>
  <si>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</si>
  <si>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</si>
  <si>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</si>
  <si>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</si>
  <si>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</si>
  <si>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</si>
  <si>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</si>
  <si>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</si>
  <si>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</si>
  <si>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</si>
  <si>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</si>
  <si>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</si>
  <si>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</si>
  <si>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</si>
  <si>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</si>
  <si>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</si>
  <si>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</si>
  <si>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</si>
  <si>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</si>
  <si>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</si>
  <si>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</si>
  <si>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</si>
  <si>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</si>
  <si>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</si>
  <si>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</si>
  <si>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</si>
  <si>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</si>
  <si>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</si>
  <si>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</si>
  <si>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</si>
  <si>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</si>
  <si>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</si>
  <si>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</si>
  <si>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</si>
  <si>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</si>
  <si>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</si>
  <si>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</si>
  <si>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</si>
  <si>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</si>
  <si>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</si>
  <si>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</si>
  <si>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</si>
  <si>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</si>
  <si>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</si>
  <si>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</si>
  <si>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</si>
  <si>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</si>
  <si>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</si>
  <si>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</si>
  <si>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</si>
  <si>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</si>
  <si>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</si>
  <si>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</si>
  <si>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</si>
  <si>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</si>
  <si>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</si>
  <si>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</si>
  <si>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</si>
  <si>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</si>
  <si>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</si>
  <si>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</si>
  <si>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</si>
  <si>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</si>
  <si>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</si>
  <si>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</si>
  <si>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</si>
  <si>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</si>
  <si>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</si>
  <si>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</si>
  <si>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</si>
  <si>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</si>
  <si>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</si>
  <si>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</si>
  <si>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</si>
  <si>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</si>
  <si>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</si>
  <si>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</si>
  <si>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</si>
  <si>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</si>
  <si>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</si>
  <si>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</si>
  <si>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</si>
  <si>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</si>
  <si>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</si>
  <si>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</si>
  <si>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</si>
  <si>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</si>
  <si>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</si>
  <si>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</si>
  <si>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</si>
  <si>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</si>
  <si>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</si>
  <si>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</si>
  <si>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</si>
  <si>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</si>
  <si>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</si>
  <si>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</si>
  <si>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</si>
  <si>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</si>
  <si>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</si>
  <si>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</si>
  <si>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</si>
  <si>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</si>
  <si>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</si>
  <si>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</si>
  <si>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</si>
  <si>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</si>
  <si>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</si>
  <si>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</si>
  <si>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</si>
  <si>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</si>
  <si>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</si>
  <si>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</si>
  <si>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</si>
  <si>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</si>
  <si>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</si>
  <si>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</si>
  <si>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</si>
  <si>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</si>
  <si>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</si>
  <si>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</si>
  <si>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</si>
  <si>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</si>
  <si>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</si>
  <si>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</si>
  <si>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</si>
  <si>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</si>
  <si>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</si>
  <si>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</si>
  <si>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</si>
  <si>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</si>
  <si>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</si>
  <si>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</si>
  <si>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</si>
  <si>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</si>
  <si>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</si>
  <si>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</si>
  <si>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</si>
  <si>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</si>
  <si>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</si>
  <si>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</si>
  <si>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</si>
  <si>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</si>
  <si>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</si>
  <si>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</si>
  <si>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</si>
  <si>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</si>
  <si>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</si>
  <si>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</si>
  <si>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</si>
  <si>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</si>
  <si>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</si>
  <si>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</si>
  <si>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</si>
  <si>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</si>
  <si>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</si>
  <si>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</si>
  <si>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</si>
  <si>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</si>
  <si>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</si>
  <si>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</si>
  <si>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</si>
  <si>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</si>
  <si>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</si>
  <si>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</si>
  <si>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</si>
  <si>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</si>
  <si>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</si>
  <si>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</si>
  <si>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</si>
  <si>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</si>
  <si>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</si>
  <si>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</si>
  <si>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</si>
  <si>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</si>
  <si>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</si>
  <si>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</si>
  <si>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</si>
  <si>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</si>
  <si>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</si>
  <si>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</si>
  <si>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</si>
  <si>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</si>
  <si>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</si>
  <si>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</si>
  <si>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</si>
  <si>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</si>
  <si>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</si>
  <si>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</si>
  <si>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</si>
  <si>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</si>
  <si>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</si>
  <si>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</si>
  <si>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</si>
  <si>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</si>
  <si>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</si>
  <si>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</si>
  <si>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</si>
  <si>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</si>
  <si>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</si>
  <si>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</si>
  <si>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</si>
  <si>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</si>
  <si>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</si>
  <si>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</si>
  <si>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</si>
  <si>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</si>
  <si>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</si>
  <si>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</si>
  <si>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</si>
  <si>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</si>
  <si>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</si>
  <si>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</si>
  <si>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</si>
  <si>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</si>
  <si>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</si>
  <si>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</si>
  <si>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</si>
  <si>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</si>
  <si>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</si>
  <si>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</si>
  <si>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</si>
  <si>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</si>
  <si>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</si>
  <si>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</si>
  <si>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</si>
  <si>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</si>
  <si>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</si>
  <si>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</si>
  <si>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</si>
  <si>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</si>
  <si>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</si>
  <si>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</si>
  <si>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</si>
  <si>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</si>
  <si>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</si>
  <si>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</si>
  <si>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</si>
  <si>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</si>
  <si>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</si>
  <si>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</si>
  <si>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</si>
  <si>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</si>
  <si>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</si>
  <si>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</si>
  <si>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</si>
  <si>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</si>
  <si>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</si>
  <si>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</si>
  <si>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</si>
  <si>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</si>
  <si>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</si>
  <si>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</si>
  <si>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</si>
  <si>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</si>
  <si>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</si>
  <si>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</si>
  <si>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</si>
  <si>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</si>
  <si>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</si>
  <si>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</si>
  <si>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</si>
  <si>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</si>
  <si>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</si>
  <si>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</si>
  <si>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</si>
  <si>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</si>
  <si>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</si>
  <si>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</si>
  <si>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</si>
  <si>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</si>
  <si>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</si>
  <si>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</si>
  <si>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</si>
  <si>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</si>
  <si>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</si>
  <si>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</si>
  <si>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</si>
  <si>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</si>
  <si>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</si>
  <si>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</si>
  <si>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</si>
  <si>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</si>
  <si>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</si>
  <si>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</si>
  <si>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</si>
  <si>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</si>
  <si>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</si>
  <si>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</si>
  <si>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</si>
  <si>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</si>
  <si>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</si>
  <si>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</si>
  <si>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</si>
  <si>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</si>
  <si>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</si>
  <si>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</si>
  <si>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</si>
  <si>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</si>
  <si>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</si>
  <si>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</si>
  <si>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</si>
  <si>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</si>
  <si>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</si>
  <si>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</si>
  <si>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</si>
  <si>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</si>
  <si>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</si>
  <si>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</si>
  <si>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</si>
  <si>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</si>
  <si>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</si>
  <si>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</si>
  <si>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</si>
  <si>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</si>
  <si>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</si>
  <si>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</si>
  <si>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</si>
  <si>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</si>
  <si>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</si>
  <si>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</si>
  <si>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</si>
  <si>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</si>
  <si>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</si>
  <si>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</si>
  <si>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</si>
  <si>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</si>
  <si>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</si>
  <si>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</si>
  <si>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</si>
  <si>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</si>
  <si>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</si>
  <si>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</si>
  <si>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</si>
  <si>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</si>
  <si>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</si>
  <si>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</si>
  <si>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</si>
  <si>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</si>
  <si>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</si>
  <si>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</si>
  <si>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</si>
  <si>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</si>
  <si>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</si>
  <si>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</si>
  <si>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</si>
  <si>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</si>
  <si>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</si>
  <si>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</si>
  <si>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</si>
  <si>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</si>
  <si>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</si>
  <si>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</si>
  <si>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</si>
  <si>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</si>
  <si>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</si>
  <si>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</si>
  <si>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</si>
  <si>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</si>
  <si>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</si>
  <si>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</si>
  <si>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</si>
  <si>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</si>
  <si>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</si>
  <si>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</si>
  <si>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</si>
  <si>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</si>
  <si>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</si>
  <si>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</si>
  <si>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</si>
  <si>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</si>
  <si>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</si>
  <si>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</si>
  <si>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</si>
  <si>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</si>
  <si>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</si>
  <si>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</si>
  <si>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</si>
  <si>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</si>
  <si>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</si>
  <si>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</si>
  <si>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</si>
  <si>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</si>
  <si>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</si>
  <si>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</si>
  <si>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</si>
  <si>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</si>
  <si>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</si>
  <si>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</si>
  <si>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</si>
  <si>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</si>
  <si>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</si>
  <si>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</si>
  <si>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</si>
  <si>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</si>
  <si>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</si>
  <si>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</si>
  <si>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</si>
  <si>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</si>
  <si>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</si>
  <si>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</si>
  <si>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</si>
  <si>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</si>
  <si>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</si>
  <si>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</si>
  <si>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</si>
  <si>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</si>
  <si>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</si>
  <si>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</si>
  <si>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</si>
  <si>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</si>
  <si>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</si>
  <si>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</si>
  <si>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</si>
  <si>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</si>
  <si>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</si>
  <si>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</si>
  <si>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</si>
  <si>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</si>
  <si>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</si>
  <si>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</si>
  <si>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</si>
  <si>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</si>
  <si>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</si>
  <si>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</si>
  <si>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</si>
  <si>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</si>
  <si>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</si>
  <si>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</si>
  <si>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</si>
  <si>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</si>
  <si>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</si>
  <si>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</si>
  <si>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</si>
  <si>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</si>
  <si>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</si>
  <si>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</si>
  <si>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</si>
  <si>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</si>
  <si>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</si>
  <si>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</si>
  <si>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</si>
  <si>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</si>
  <si>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</si>
  <si>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</si>
  <si>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</si>
  <si>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</si>
  <si>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</si>
  <si>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</si>
  <si>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</si>
  <si>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</si>
  <si>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</si>
  <si>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</si>
  <si>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</si>
  <si>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</si>
  <si>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</si>
  <si>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</si>
  <si>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</si>
  <si>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</si>
  <si>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</si>
  <si>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</si>
  <si>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</si>
  <si>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</si>
  <si>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</si>
  <si>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</si>
  <si>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</si>
  <si>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</si>
  <si>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</si>
  <si>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</si>
  <si>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</si>
  <si>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</si>
  <si>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</si>
  <si>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</si>
  <si>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</si>
  <si>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</si>
  <si>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</si>
  <si>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</si>
  <si>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</si>
  <si>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</si>
  <si>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</si>
  <si>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</si>
  <si>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</si>
  <si>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</si>
  <si>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</si>
  <si>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</si>
  <si>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</si>
  <si>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</si>
  <si>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</si>
  <si>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</si>
  <si>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</si>
  <si>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</si>
  <si>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</si>
  <si>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</si>
  <si>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</si>
  <si>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</si>
  <si>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</si>
  <si>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</si>
  <si>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</si>
  <si>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</si>
  <si>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</si>
  <si>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</si>
  <si>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</si>
  <si>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</si>
  <si>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</si>
  <si>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</si>
  <si>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</si>
  <si>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</si>
  <si>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</si>
  <si>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</si>
  <si>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</si>
  <si>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</si>
  <si>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</si>
  <si>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</si>
  <si>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</si>
  <si>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</si>
  <si>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</si>
  <si>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</si>
  <si>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</si>
  <si>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</si>
  <si>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</si>
  <si>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</si>
  <si>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</si>
  <si>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</si>
  <si>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</si>
  <si>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</si>
  <si>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</si>
  <si>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</si>
  <si>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</si>
  <si>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</si>
  <si>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</si>
  <si>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</si>
  <si>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</si>
  <si>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</si>
  <si>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</si>
  <si>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</si>
  <si>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</si>
  <si>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</si>
  <si>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</si>
  <si>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</si>
  <si>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</si>
  <si>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</si>
  <si>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</si>
  <si>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</si>
  <si>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</si>
  <si>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</si>
  <si>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</si>
  <si>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</si>
  <si>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</si>
  <si>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</si>
  <si>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</si>
  <si>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</si>
  <si>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</si>
  <si>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</si>
  <si>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</si>
  <si>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</si>
  <si>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</si>
  <si>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</si>
  <si>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</si>
  <si>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</si>
  <si>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</si>
  <si>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</si>
  <si>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</si>
  <si>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</si>
  <si>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</si>
  <si>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</si>
  <si>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</si>
  <si>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</si>
  <si>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</si>
  <si>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</si>
  <si>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</si>
  <si>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</si>
  <si>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</si>
  <si>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</si>
  <si>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</si>
  <si>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</si>
  <si>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</si>
  <si>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</si>
  <si>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</si>
  <si>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</si>
  <si>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</si>
  <si>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</si>
  <si>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</si>
  <si>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</si>
  <si>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</si>
  <si>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</si>
  <si>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</si>
  <si>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</si>
  <si>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</si>
  <si>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</si>
  <si>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</si>
  <si>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</si>
  <si>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</si>
  <si>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</si>
  <si>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</si>
  <si>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</si>
  <si>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</si>
  <si>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</si>
  <si>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</si>
  <si>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</si>
  <si>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</si>
  <si>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</si>
  <si>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</si>
  <si>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</si>
  <si>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</si>
  <si>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</si>
  <si>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</si>
  <si>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</si>
  <si>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</si>
  <si>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</si>
  <si>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</si>
  <si>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</si>
  <si>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</si>
  <si>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</si>
  <si>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</si>
  <si>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</si>
  <si>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</si>
  <si>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</si>
  <si>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</si>
  <si>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</si>
  <si>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</si>
  <si>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</si>
  <si>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</si>
  <si>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</si>
  <si>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</si>
  <si>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</si>
  <si>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</si>
  <si>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</si>
  <si>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</si>
  <si>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</si>
  <si>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</si>
  <si>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</si>
  <si>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</si>
  <si>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</si>
  <si>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</si>
  <si>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</si>
  <si>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</si>
  <si>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</si>
  <si>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</si>
  <si>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</si>
  <si>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</si>
  <si>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</si>
  <si>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</si>
  <si>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</si>
  <si>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</si>
  <si>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</si>
  <si>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</si>
  <si>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</si>
  <si>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</si>
  <si>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</si>
  <si>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</si>
  <si>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</si>
  <si>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</si>
  <si>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</si>
  <si>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</si>
  <si>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</si>
  <si>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</si>
  <si>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</si>
  <si>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</si>
  <si>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</si>
  <si>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</si>
  <si>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</si>
  <si>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</si>
  <si>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</si>
  <si>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</si>
  <si>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</si>
  <si>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</si>
  <si>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</si>
  <si>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</si>
  <si>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</si>
  <si>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</si>
  <si>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</si>
  <si>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</si>
  <si>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</si>
  <si>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</si>
  <si>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</si>
  <si>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</si>
  <si>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</si>
  <si>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</si>
  <si>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</si>
  <si>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</si>
  <si>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</si>
  <si>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</si>
  <si>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</si>
  <si>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</si>
  <si>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</si>
  <si>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</si>
  <si>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</si>
  <si>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</si>
  <si>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</si>
  <si>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</si>
  <si>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</si>
  <si>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</si>
  <si>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</si>
  <si>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</si>
  <si>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</si>
  <si>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</si>
  <si>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</si>
  <si>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</si>
  <si>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</si>
  <si>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</si>
  <si>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</si>
  <si>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</si>
  <si>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</si>
  <si>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</si>
  <si>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</si>
  <si>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</si>
  <si>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</si>
  <si>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</si>
  <si>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</si>
  <si>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</si>
  <si>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</si>
  <si>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</si>
  <si>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</si>
  <si>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</si>
  <si>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</si>
  <si>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</si>
  <si>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</si>
  <si>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</si>
  <si>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</si>
  <si>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</si>
  <si>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</si>
  <si>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</si>
  <si>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</si>
  <si>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</si>
  <si>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</si>
  <si>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</si>
  <si>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</si>
  <si>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</si>
  <si>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</si>
  <si>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</si>
  <si>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</si>
  <si>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</si>
  <si>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</si>
  <si>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</si>
  <si>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</si>
  <si>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</si>
  <si>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</si>
  <si>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</si>
  <si>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</si>
  <si>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</si>
  <si>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</si>
  <si>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</si>
  <si>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</si>
  <si>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</si>
  <si>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</si>
  <si>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</si>
  <si>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</si>
  <si>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</si>
  <si>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</si>
  <si>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</si>
  <si>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</si>
  <si>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</si>
  <si>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</si>
  <si>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</si>
  <si>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</si>
  <si>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</si>
  <si>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</si>
  <si>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</si>
  <si>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</si>
  <si>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</si>
  <si>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</si>
  <si>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</si>
  <si>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</si>
  <si>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</si>
  <si>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</si>
  <si>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</si>
  <si>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</si>
  <si>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</si>
  <si>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</si>
  <si>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</si>
  <si>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</si>
  <si>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</si>
  <si>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</si>
  <si>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</si>
  <si>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</si>
  <si>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</si>
  <si>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</si>
  <si>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</si>
  <si>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</si>
  <si>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</si>
  <si>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</si>
  <si>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</si>
  <si>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</si>
  <si>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</si>
  <si>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</si>
  <si>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</si>
  <si>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</si>
  <si>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</si>
  <si>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</si>
  <si>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</si>
  <si>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</si>
  <si>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</si>
  <si>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</si>
  <si>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</si>
  <si>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</si>
  <si>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</si>
  <si>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</si>
  <si>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</si>
  <si>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</si>
  <si>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</si>
  <si>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</si>
  <si>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</si>
  <si>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</si>
  <si>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</si>
  <si>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</si>
  <si>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</si>
  <si>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</si>
  <si>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</si>
  <si>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</si>
  <si>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</si>
  <si>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</si>
  <si>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</si>
  <si>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</si>
  <si>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</si>
  <si>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</si>
  <si>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</si>
  <si>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</si>
  <si>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</si>
  <si>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</si>
  <si>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</si>
  <si>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</si>
  <si>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</si>
  <si>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</si>
  <si>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</si>
  <si>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</si>
  <si>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</si>
  <si>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</si>
  <si>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</si>
  <si>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</si>
  <si>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</si>
  <si>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</si>
  <si>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</si>
  <si>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</si>
  <si>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</si>
  <si>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</si>
  <si>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</si>
  <si>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</si>
  <si>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</si>
  <si>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</si>
  <si>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</si>
  <si>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</si>
  <si>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DOE 25  2013-2014</t>
  </si>
  <si>
    <t>TOTAL FUND EQUITY, JULY 1, 2013</t>
  </si>
  <si>
    <t xml:space="preserve">Total Fund Equity June 30, 2014**** </t>
  </si>
  <si>
    <t>For the Fiscal Year Ending on June 30, 2014</t>
  </si>
  <si>
    <t>For Fiscal Year Ending June 30, 2014</t>
  </si>
  <si>
    <t>Indirect Cost Rate to be determine at later date for FY2015-2016</t>
  </si>
  <si>
    <t>2013-2014 Current Expenditure Per Pupil(in dollars)</t>
  </si>
  <si>
    <t>2013-14-Current Expenditure Per Pupil</t>
  </si>
  <si>
    <t>2013-14-Total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</si>
  <si>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</si>
  <si>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</si>
  <si>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</si>
  <si>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</si>
  <si>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</si>
  <si>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</si>
  <si>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</si>
  <si>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</si>
  <si>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</si>
  <si>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</si>
  <si>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</si>
  <si>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</si>
  <si>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Mascenic Regional School District</t>
  </si>
  <si>
    <t>6/10</t>
  </si>
  <si>
    <t>9/26</t>
  </si>
  <si>
    <t>This reduction is changes made prior to the audit and after the DOE-25 was filed.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</si>
</sst>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="110" zoomScaleNormal="110" workbookViewId="0">
      <pane xSplit="5" ySplit="3" topLeftCell="F646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890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342</v>
      </c>
      <c r="C2" s="21">
        <v>0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1023958.1</v>
      </c>
      <c r="G9" s="18"/>
      <c r="H9" s="18">
        <v>966</v>
      </c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>
        <v>6018</v>
      </c>
      <c r="I10" s="18"/>
      <c r="J10" s="67">
        <f>SUM(I440)</f>
        <v>230770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56268.63</v>
      </c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11071.86</v>
      </c>
      <c r="G13" s="18">
        <v>13973.98</v>
      </c>
      <c r="H13" s="18">
        <f>0.57+27627.73</f>
        <v>27628.3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f>715+325</f>
        <v>1040</v>
      </c>
      <c r="G14" s="18">
        <v>17963.349999999999</v>
      </c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>
        <v>8811.44</v>
      </c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1092338.5900000001</v>
      </c>
      <c r="G19" s="41">
        <f>SUM(G9:G18)</f>
        <v>40748.769999999997</v>
      </c>
      <c r="H19" s="41">
        <f>SUM(H9:H18)</f>
        <v>34612.300000000003</v>
      </c>
      <c r="I19" s="41">
        <f>SUM(I9:I18)</f>
        <v>0</v>
      </c>
      <c r="J19" s="41">
        <f>SUM(J9:J18)</f>
        <v>230770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>
        <f>45684.26-4055.82-18451.12+8760.01</f>
        <v>31937.33</v>
      </c>
      <c r="H22" s="18">
        <f>202116.36-44355.45-133429.61</f>
        <v>24331.299999999988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40625.54</v>
      </c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47402.04</v>
      </c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5361.33</v>
      </c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93388.91</v>
      </c>
      <c r="G32" s="41">
        <f>SUM(G22:G31)</f>
        <v>31937.33</v>
      </c>
      <c r="H32" s="41">
        <f>SUM(H22:H31)</f>
        <v>24331.299999999988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>
        <v>8811.44</v>
      </c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85000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899</v>
      </c>
      <c r="B46" s="6">
        <v>1</v>
      </c>
      <c r="C46" s="6">
        <v>32</v>
      </c>
      <c r="D46" s="2"/>
      <c r="E46" s="6"/>
      <c r="F46" s="18">
        <v>113955</v>
      </c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>
        <v>0</v>
      </c>
      <c r="H48" s="18">
        <v>10281</v>
      </c>
      <c r="I48" s="18"/>
      <c r="J48" s="13">
        <f>SUM(I459)</f>
        <v>230770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>
        <v>78221.789999999994</v>
      </c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f>96662+625110.89</f>
        <v>721772.89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998949.67999999993</v>
      </c>
      <c r="G51" s="41">
        <f>SUM(G35:G50)</f>
        <v>8811.44</v>
      </c>
      <c r="H51" s="41">
        <f>SUM(H35:H50)</f>
        <v>10281</v>
      </c>
      <c r="I51" s="41">
        <f>SUM(I35:I50)</f>
        <v>0</v>
      </c>
      <c r="J51" s="41">
        <f>SUM(J35:J50)</f>
        <v>230770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1092338.5899999999</v>
      </c>
      <c r="G52" s="41">
        <f>G51+G32</f>
        <v>40748.770000000004</v>
      </c>
      <c r="H52" s="41">
        <f>H51+H32</f>
        <v>34612.299999999988</v>
      </c>
      <c r="I52" s="41">
        <f>I51+I32</f>
        <v>0</v>
      </c>
      <c r="J52" s="41">
        <f>J51+J32</f>
        <v>230770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7306100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7306100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>
        <f>13805.44+627.52+5647.68</f>
        <v>20080.64</v>
      </c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>
        <f>250+9320</f>
        <v>9570</v>
      </c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29650.639999999999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-962.03</v>
      </c>
      <c r="G96" s="18"/>
      <c r="H96" s="18"/>
      <c r="I96" s="18"/>
      <c r="J96" s="18">
        <v>1877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f>152214.72+5885</f>
        <v>158099.72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>
        <f>44257-135.5</f>
        <v>44121.5</v>
      </c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v>10078.209999999999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>
        <f>1694.43+2724.62</f>
        <v>4419.05</v>
      </c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f>105445.2+15853.07-323.93</f>
        <v>120974.34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130090.51999999999</v>
      </c>
      <c r="G111" s="41">
        <f>SUM(G96:G110)</f>
        <v>202221.22</v>
      </c>
      <c r="H111" s="41">
        <f>SUM(H96:H110)</f>
        <v>4419.05</v>
      </c>
      <c r="I111" s="41">
        <f>SUM(I96:I110)</f>
        <v>0</v>
      </c>
      <c r="J111" s="41">
        <f>SUM(J96:J110)</f>
        <v>1877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7465841.1599999992</v>
      </c>
      <c r="G112" s="41">
        <f>G60+G111</f>
        <v>202221.22</v>
      </c>
      <c r="H112" s="41">
        <f>H60+H79+H94+H111</f>
        <v>4419.05</v>
      </c>
      <c r="I112" s="41">
        <f>I60+I111</f>
        <v>0</v>
      </c>
      <c r="J112" s="41">
        <f>J60+J111</f>
        <v>1877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5621214.0199999996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1118598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>
        <v>42000</v>
      </c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6781812.0199999996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810885.38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139741.28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>
        <v>28548.38</v>
      </c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>
        <v>1500</v>
      </c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5539.66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980675.04</v>
      </c>
      <c r="G136" s="41">
        <f>SUM(G123:G135)</f>
        <v>5539.66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7762487.0599999996</v>
      </c>
      <c r="G140" s="41">
        <f>G121+SUM(G136:G137)</f>
        <v>5539.66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260221.48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62736.4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230100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164911.07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f>2134.04+137534.54</f>
        <v>139668.58000000002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139668.58000000002</v>
      </c>
      <c r="G162" s="41">
        <f>SUM(G150:G161)</f>
        <v>230100</v>
      </c>
      <c r="H162" s="41">
        <f>SUM(H150:H161)</f>
        <v>487868.95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139668.58000000002</v>
      </c>
      <c r="G169" s="41">
        <f>G147+G162+SUM(G163:G168)</f>
        <v>230100</v>
      </c>
      <c r="H169" s="41">
        <f>H147+H162+SUM(H163:H168)</f>
        <v>487868.95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>
        <v>988030.65</v>
      </c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988030.65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21294.560000000001</v>
      </c>
      <c r="H179" s="18"/>
      <c r="I179" s="18"/>
      <c r="J179" s="18">
        <v>85000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21294.560000000001</v>
      </c>
      <c r="H183" s="41">
        <f>SUM(H179:H182)</f>
        <v>0</v>
      </c>
      <c r="I183" s="41">
        <f>SUM(I179:I182)</f>
        <v>0</v>
      </c>
      <c r="J183" s="41">
        <f>SUM(J179:J182)</f>
        <v>85000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>
        <v>2752.07</v>
      </c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990782.72</v>
      </c>
      <c r="G192" s="41">
        <f>G183+SUM(G188:G191)</f>
        <v>21294.560000000001</v>
      </c>
      <c r="H192" s="41">
        <f>+H183+SUM(H188:H191)</f>
        <v>0</v>
      </c>
      <c r="I192" s="41">
        <f>I177+I183+SUM(I188:I191)</f>
        <v>0</v>
      </c>
      <c r="J192" s="41">
        <f>J183</f>
        <v>85000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16358779.52</v>
      </c>
      <c r="G193" s="47">
        <f>G112+G140+G169+G192</f>
        <v>459155.44</v>
      </c>
      <c r="H193" s="47">
        <f>H112+H140+H169+H192</f>
        <v>492288</v>
      </c>
      <c r="I193" s="47">
        <f>I112+I140+I169+I192</f>
        <v>0</v>
      </c>
      <c r="J193" s="47">
        <f>J112+J140+J192</f>
        <v>86877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1243689</v>
      </c>
      <c r="G197" s="18">
        <v>546922</v>
      </c>
      <c r="H197" s="18">
        <v>15165</v>
      </c>
      <c r="I197" s="18">
        <v>91596</v>
      </c>
      <c r="J197" s="18">
        <v>23880</v>
      </c>
      <c r="K197" s="18"/>
      <c r="L197" s="19">
        <f>SUM(F197:K197)</f>
        <v>1921252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280596</v>
      </c>
      <c r="G198" s="18">
        <v>74595</v>
      </c>
      <c r="H198" s="18">
        <v>48949</v>
      </c>
      <c r="I198" s="18">
        <v>108</v>
      </c>
      <c r="J198" s="18">
        <v>451</v>
      </c>
      <c r="K198" s="18"/>
      <c r="L198" s="19">
        <f>SUM(F198:K198)</f>
        <v>404699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7295</v>
      </c>
      <c r="G200" s="18">
        <v>1343</v>
      </c>
      <c r="H200" s="18"/>
      <c r="I200" s="18">
        <v>2043</v>
      </c>
      <c r="J200" s="18"/>
      <c r="K200" s="18"/>
      <c r="L200" s="19">
        <f>SUM(F200:K200)</f>
        <v>10681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208267</v>
      </c>
      <c r="G202" s="18">
        <v>75660</v>
      </c>
      <c r="H202" s="18">
        <v>104156</v>
      </c>
      <c r="I202" s="18">
        <v>3757</v>
      </c>
      <c r="J202" s="18">
        <v>123</v>
      </c>
      <c r="K202" s="18">
        <v>283</v>
      </c>
      <c r="L202" s="19">
        <f t="shared" ref="L202:L208" si="0">SUM(F202:K202)</f>
        <v>392246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42640</v>
      </c>
      <c r="G203" s="18">
        <v>69308</v>
      </c>
      <c r="H203" s="18">
        <v>39</v>
      </c>
      <c r="I203" s="18">
        <v>21021</v>
      </c>
      <c r="J203" s="18"/>
      <c r="K203" s="18"/>
      <c r="L203" s="19">
        <f t="shared" si="0"/>
        <v>133008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108426</v>
      </c>
      <c r="G204" s="18">
        <v>44245</v>
      </c>
      <c r="H204" s="18">
        <v>61308</v>
      </c>
      <c r="I204" s="18">
        <v>1553</v>
      </c>
      <c r="J204" s="18">
        <v>930</v>
      </c>
      <c r="K204" s="18">
        <v>55379</v>
      </c>
      <c r="L204" s="19">
        <f t="shared" si="0"/>
        <v>271841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214348</v>
      </c>
      <c r="G205" s="18">
        <v>91538</v>
      </c>
      <c r="H205" s="18">
        <v>10611</v>
      </c>
      <c r="I205" s="18">
        <v>3194</v>
      </c>
      <c r="J205" s="18">
        <v>1850</v>
      </c>
      <c r="K205" s="18"/>
      <c r="L205" s="19">
        <f t="shared" si="0"/>
        <v>321541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>
        <v>58864</v>
      </c>
      <c r="G206" s="18">
        <v>31851</v>
      </c>
      <c r="H206" s="18">
        <v>278</v>
      </c>
      <c r="I206" s="18">
        <v>4330</v>
      </c>
      <c r="J206" s="18">
        <v>394</v>
      </c>
      <c r="K206" s="18">
        <v>355</v>
      </c>
      <c r="L206" s="19">
        <f t="shared" si="0"/>
        <v>96072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169893</v>
      </c>
      <c r="G207" s="18">
        <v>94502</v>
      </c>
      <c r="H207" s="18">
        <v>80451</v>
      </c>
      <c r="I207" s="18">
        <v>112082</v>
      </c>
      <c r="J207" s="18">
        <v>1136</v>
      </c>
      <c r="K207" s="18"/>
      <c r="L207" s="19">
        <f t="shared" si="0"/>
        <v>458064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>
        <v>0</v>
      </c>
      <c r="G208" s="18"/>
      <c r="H208" s="18">
        <v>220620</v>
      </c>
      <c r="I208" s="18"/>
      <c r="J208" s="18"/>
      <c r="K208" s="18"/>
      <c r="L208" s="19">
        <f t="shared" si="0"/>
        <v>220620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>
        <v>72241</v>
      </c>
      <c r="G209" s="18">
        <v>28135</v>
      </c>
      <c r="H209" s="18">
        <v>2173</v>
      </c>
      <c r="I209" s="18">
        <v>17</v>
      </c>
      <c r="J209" s="18">
        <v>107</v>
      </c>
      <c r="K209" s="18">
        <v>1142</v>
      </c>
      <c r="L209" s="19">
        <f>SUM(F209:K209)</f>
        <v>103815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2406259</v>
      </c>
      <c r="G211" s="41">
        <f t="shared" si="1"/>
        <v>1058099</v>
      </c>
      <c r="H211" s="41">
        <f t="shared" si="1"/>
        <v>543750</v>
      </c>
      <c r="I211" s="41">
        <f t="shared" si="1"/>
        <v>239701</v>
      </c>
      <c r="J211" s="41">
        <f t="shared" si="1"/>
        <v>28871</v>
      </c>
      <c r="K211" s="41">
        <f t="shared" si="1"/>
        <v>57159</v>
      </c>
      <c r="L211" s="41">
        <f t="shared" si="1"/>
        <v>4333839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>
        <v>1191365</v>
      </c>
      <c r="G215" s="18">
        <v>598994</v>
      </c>
      <c r="H215" s="18">
        <v>10699</v>
      </c>
      <c r="I215" s="18">
        <v>69415</v>
      </c>
      <c r="J215" s="18">
        <v>40394</v>
      </c>
      <c r="K215" s="18">
        <v>1445</v>
      </c>
      <c r="L215" s="19">
        <f>SUM(F215:K215)</f>
        <v>1912312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>
        <v>220846</v>
      </c>
      <c r="G216" s="18">
        <v>65133</v>
      </c>
      <c r="H216" s="18">
        <v>70979</v>
      </c>
      <c r="I216" s="18">
        <v>124</v>
      </c>
      <c r="J216" s="18"/>
      <c r="K216" s="18"/>
      <c r="L216" s="19">
        <f>SUM(F216:K216)</f>
        <v>357082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>
        <v>27696</v>
      </c>
      <c r="G218" s="18">
        <v>4081</v>
      </c>
      <c r="H218" s="18">
        <v>6723</v>
      </c>
      <c r="I218" s="18">
        <v>5192</v>
      </c>
      <c r="J218" s="18">
        <v>3884</v>
      </c>
      <c r="K218" s="18">
        <v>1060</v>
      </c>
      <c r="L218" s="19">
        <f>SUM(F218:K218)</f>
        <v>48636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>
        <v>174189</v>
      </c>
      <c r="G220" s="18">
        <v>90567</v>
      </c>
      <c r="H220" s="18">
        <v>46366</v>
      </c>
      <c r="I220" s="18">
        <v>1909</v>
      </c>
      <c r="J220" s="18">
        <v>104</v>
      </c>
      <c r="K220" s="18">
        <v>250</v>
      </c>
      <c r="L220" s="19">
        <f t="shared" ref="L220:L226" si="2">SUM(F220:K220)</f>
        <v>313385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>
        <v>51107</v>
      </c>
      <c r="G221" s="18">
        <v>28280</v>
      </c>
      <c r="H221" s="18">
        <v>86</v>
      </c>
      <c r="I221" s="18">
        <v>11203</v>
      </c>
      <c r="J221" s="18">
        <v>0</v>
      </c>
      <c r="K221" s="18">
        <v>0</v>
      </c>
      <c r="L221" s="19">
        <f t="shared" si="2"/>
        <v>90676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>
        <v>92669</v>
      </c>
      <c r="G222" s="18">
        <v>37685</v>
      </c>
      <c r="H222" s="18">
        <v>57658</v>
      </c>
      <c r="I222" s="18">
        <v>1335</v>
      </c>
      <c r="J222" s="18">
        <v>791</v>
      </c>
      <c r="K222" s="18">
        <v>54413</v>
      </c>
      <c r="L222" s="19">
        <f t="shared" si="2"/>
        <v>244551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>
        <v>208241</v>
      </c>
      <c r="G223" s="18">
        <v>80955</v>
      </c>
      <c r="H223" s="18">
        <v>5412</v>
      </c>
      <c r="I223" s="18">
        <v>3902</v>
      </c>
      <c r="J223" s="18"/>
      <c r="K223" s="18">
        <v>1650</v>
      </c>
      <c r="L223" s="19">
        <f t="shared" si="2"/>
        <v>300160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>
        <v>50067</v>
      </c>
      <c r="G224" s="18">
        <v>27091</v>
      </c>
      <c r="H224" s="18">
        <v>236</v>
      </c>
      <c r="I224" s="18">
        <v>3683</v>
      </c>
      <c r="J224" s="18">
        <v>335</v>
      </c>
      <c r="K224" s="18">
        <v>302</v>
      </c>
      <c r="L224" s="19">
        <f t="shared" si="2"/>
        <v>81714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>
        <v>121641</v>
      </c>
      <c r="G225" s="18">
        <v>70262</v>
      </c>
      <c r="H225" s="18">
        <v>256458</v>
      </c>
      <c r="I225" s="18">
        <v>83501</v>
      </c>
      <c r="J225" s="18">
        <v>9086</v>
      </c>
      <c r="K225" s="18"/>
      <c r="L225" s="19">
        <f t="shared" si="2"/>
        <v>540948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v>201829</v>
      </c>
      <c r="I226" s="18"/>
      <c r="J226" s="18"/>
      <c r="K226" s="18"/>
      <c r="L226" s="19">
        <f t="shared" si="2"/>
        <v>201829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>
        <v>36617</v>
      </c>
      <c r="G227" s="18">
        <v>14161</v>
      </c>
      <c r="H227" s="18">
        <v>3050</v>
      </c>
      <c r="I227" s="18">
        <v>17</v>
      </c>
      <c r="J227" s="18">
        <v>0</v>
      </c>
      <c r="K227" s="18">
        <v>1140</v>
      </c>
      <c r="L227" s="19">
        <f>SUM(F227:K227)</f>
        <v>54985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2174438</v>
      </c>
      <c r="G229" s="41">
        <f>SUM(G215:G228)</f>
        <v>1017209</v>
      </c>
      <c r="H229" s="41">
        <f>SUM(H215:H228)</f>
        <v>659496</v>
      </c>
      <c r="I229" s="41">
        <f>SUM(I215:I228)</f>
        <v>180281</v>
      </c>
      <c r="J229" s="41">
        <f>SUM(J215:J228)</f>
        <v>54594</v>
      </c>
      <c r="K229" s="41">
        <f t="shared" si="3"/>
        <v>60260</v>
      </c>
      <c r="L229" s="41">
        <f t="shared" si="3"/>
        <v>4146278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>
        <v>1347259</v>
      </c>
      <c r="G233" s="18">
        <v>634726</v>
      </c>
      <c r="H233" s="18">
        <v>5981</v>
      </c>
      <c r="I233" s="18">
        <v>99348</v>
      </c>
      <c r="J233" s="18">
        <v>60469</v>
      </c>
      <c r="K233" s="18">
        <v>315</v>
      </c>
      <c r="L233" s="19">
        <f>SUM(F233:K233)</f>
        <v>2148098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v>283557</v>
      </c>
      <c r="G234" s="18">
        <v>110123</v>
      </c>
      <c r="H234" s="18">
        <v>213876</v>
      </c>
      <c r="I234" s="18">
        <v>102</v>
      </c>
      <c r="J234" s="18">
        <v>75</v>
      </c>
      <c r="K234" s="18"/>
      <c r="L234" s="19">
        <f>SUM(F234:K234)</f>
        <v>607733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>
        <v>95171</v>
      </c>
      <c r="G235" s="18">
        <v>34902</v>
      </c>
      <c r="H235" s="18">
        <v>4004</v>
      </c>
      <c r="I235" s="18">
        <v>2140</v>
      </c>
      <c r="J235" s="18">
        <v>9579</v>
      </c>
      <c r="K235" s="18">
        <v>5058</v>
      </c>
      <c r="L235" s="19">
        <f>SUM(F235:K235)</f>
        <v>150854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>
        <v>66544</v>
      </c>
      <c r="G236" s="18">
        <v>9286</v>
      </c>
      <c r="H236" s="18">
        <v>16286</v>
      </c>
      <c r="I236" s="18">
        <v>6661</v>
      </c>
      <c r="J236" s="18">
        <v>12550</v>
      </c>
      <c r="K236" s="18">
        <v>7726</v>
      </c>
      <c r="L236" s="19">
        <f>SUM(F236:K236)</f>
        <v>119053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>
        <v>216627</v>
      </c>
      <c r="G238" s="18">
        <v>97004</v>
      </c>
      <c r="H238" s="18">
        <v>59101</v>
      </c>
      <c r="I238" s="18">
        <v>2041</v>
      </c>
      <c r="J238" s="18">
        <v>308</v>
      </c>
      <c r="K238" s="18">
        <v>514</v>
      </c>
      <c r="L238" s="19">
        <f t="shared" ref="L238:L244" si="4">SUM(F238:K238)</f>
        <v>375595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>
        <v>52780</v>
      </c>
      <c r="G239" s="18">
        <v>30494</v>
      </c>
      <c r="H239" s="18">
        <v>158</v>
      </c>
      <c r="I239" s="18">
        <v>12574</v>
      </c>
      <c r="J239" s="18">
        <v>213</v>
      </c>
      <c r="K239" s="18">
        <v>151</v>
      </c>
      <c r="L239" s="19">
        <f t="shared" si="4"/>
        <v>96370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96118</v>
      </c>
      <c r="G240" s="18">
        <v>39110</v>
      </c>
      <c r="H240" s="18">
        <v>63368</v>
      </c>
      <c r="I240" s="18">
        <v>1385</v>
      </c>
      <c r="J240" s="18">
        <v>820</v>
      </c>
      <c r="K240" s="18">
        <v>55794</v>
      </c>
      <c r="L240" s="19">
        <f t="shared" si="4"/>
        <v>256595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>
        <v>272010</v>
      </c>
      <c r="G241" s="18">
        <v>90536</v>
      </c>
      <c r="H241" s="18">
        <v>23196</v>
      </c>
      <c r="I241" s="18">
        <v>6459</v>
      </c>
      <c r="J241" s="18">
        <v>2423</v>
      </c>
      <c r="K241" s="18">
        <v>8150</v>
      </c>
      <c r="L241" s="19">
        <f t="shared" si="4"/>
        <v>402774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>
        <v>51975</v>
      </c>
      <c r="G242" s="18">
        <v>28123</v>
      </c>
      <c r="H242" s="18">
        <v>245</v>
      </c>
      <c r="I242" s="18">
        <v>3824</v>
      </c>
      <c r="J242" s="18">
        <v>348</v>
      </c>
      <c r="K242" s="18">
        <v>313</v>
      </c>
      <c r="L242" s="19">
        <f t="shared" si="4"/>
        <v>84828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>
        <v>124647</v>
      </c>
      <c r="G243" s="18">
        <v>82841</v>
      </c>
      <c r="H243" s="18">
        <v>171307</v>
      </c>
      <c r="I243" s="18">
        <v>113401</v>
      </c>
      <c r="J243" s="18">
        <v>13745</v>
      </c>
      <c r="K243" s="18">
        <v>0</v>
      </c>
      <c r="L243" s="19">
        <f t="shared" si="4"/>
        <v>505941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322325</v>
      </c>
      <c r="I244" s="18"/>
      <c r="J244" s="18"/>
      <c r="K244" s="18"/>
      <c r="L244" s="19">
        <f t="shared" si="4"/>
        <v>322325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>
        <v>36617</v>
      </c>
      <c r="G245" s="18">
        <v>14191</v>
      </c>
      <c r="H245" s="18">
        <v>2383</v>
      </c>
      <c r="I245" s="18">
        <v>18</v>
      </c>
      <c r="J245" s="18">
        <v>0</v>
      </c>
      <c r="K245" s="18">
        <v>1175</v>
      </c>
      <c r="L245" s="19">
        <f>SUM(F245:K245)</f>
        <v>54384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2643305</v>
      </c>
      <c r="G247" s="41">
        <f t="shared" si="5"/>
        <v>1171336</v>
      </c>
      <c r="H247" s="41">
        <f t="shared" si="5"/>
        <v>882230</v>
      </c>
      <c r="I247" s="41">
        <f t="shared" si="5"/>
        <v>247953</v>
      </c>
      <c r="J247" s="41">
        <f t="shared" si="5"/>
        <v>100530</v>
      </c>
      <c r="K247" s="41">
        <f t="shared" si="5"/>
        <v>79196</v>
      </c>
      <c r="L247" s="41">
        <f t="shared" si="5"/>
        <v>5124550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7224002</v>
      </c>
      <c r="G257" s="41">
        <f t="shared" si="8"/>
        <v>3246644</v>
      </c>
      <c r="H257" s="41">
        <f t="shared" si="8"/>
        <v>2085476</v>
      </c>
      <c r="I257" s="41">
        <f t="shared" si="8"/>
        <v>667935</v>
      </c>
      <c r="J257" s="41">
        <f t="shared" si="8"/>
        <v>183995</v>
      </c>
      <c r="K257" s="41">
        <f t="shared" si="8"/>
        <v>196615</v>
      </c>
      <c r="L257" s="41">
        <f t="shared" si="8"/>
        <v>13604667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1474000</v>
      </c>
      <c r="L260" s="19">
        <f>SUM(F260:K260)</f>
        <v>1474000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v>1079688</v>
      </c>
      <c r="L261" s="19">
        <f>SUM(F261:K261)</f>
        <v>1079688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21294.560000000001</v>
      </c>
      <c r="L263" s="19">
        <f>SUM(F263:K263)</f>
        <v>21294.560000000001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85000</v>
      </c>
      <c r="L266" s="19">
        <f t="shared" si="9"/>
        <v>85000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2659982.56</v>
      </c>
      <c r="L270" s="41">
        <f t="shared" si="9"/>
        <v>2659982.56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7224002</v>
      </c>
      <c r="G271" s="42">
        <f t="shared" si="11"/>
        <v>3246644</v>
      </c>
      <c r="H271" s="42">
        <f t="shared" si="11"/>
        <v>2085476</v>
      </c>
      <c r="I271" s="42">
        <f t="shared" si="11"/>
        <v>667935</v>
      </c>
      <c r="J271" s="42">
        <f t="shared" si="11"/>
        <v>183995</v>
      </c>
      <c r="K271" s="42">
        <f t="shared" si="11"/>
        <v>2856597.56</v>
      </c>
      <c r="L271" s="42">
        <f t="shared" si="11"/>
        <v>16264649.560000001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78953</v>
      </c>
      <c r="G276" s="18">
        <f>23603+113</f>
        <v>23716</v>
      </c>
      <c r="H276" s="18">
        <v>2077</v>
      </c>
      <c r="I276" s="18">
        <v>7937</v>
      </c>
      <c r="J276" s="18">
        <v>5165</v>
      </c>
      <c r="K276" s="18">
        <v>162</v>
      </c>
      <c r="L276" s="19">
        <f>SUM(F276:K276)</f>
        <v>118010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32414</v>
      </c>
      <c r="G277" s="18">
        <v>12667</v>
      </c>
      <c r="H277" s="18">
        <v>439</v>
      </c>
      <c r="I277" s="18">
        <v>1958</v>
      </c>
      <c r="J277" s="18">
        <v>0</v>
      </c>
      <c r="K277" s="18">
        <v>0</v>
      </c>
      <c r="L277" s="19">
        <f>SUM(F277:K277)</f>
        <v>47478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>
        <v>478</v>
      </c>
      <c r="G279" s="18">
        <v>86</v>
      </c>
      <c r="H279" s="18"/>
      <c r="I279" s="18">
        <v>48</v>
      </c>
      <c r="J279" s="18"/>
      <c r="K279" s="18">
        <v>916</v>
      </c>
      <c r="L279" s="19">
        <f>SUM(F279:K279)</f>
        <v>1528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>
        <v>6254</v>
      </c>
      <c r="G281" s="18">
        <v>1082</v>
      </c>
      <c r="H281" s="18">
        <v>12292</v>
      </c>
      <c r="I281" s="18">
        <v>882</v>
      </c>
      <c r="J281" s="18"/>
      <c r="K281" s="18"/>
      <c r="L281" s="19">
        <f t="shared" ref="L281:L287" si="12">SUM(F281:K281)</f>
        <v>20510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/>
      <c r="H282" s="18">
        <v>14067</v>
      </c>
      <c r="I282" s="18">
        <v>158</v>
      </c>
      <c r="J282" s="18">
        <v>997</v>
      </c>
      <c r="K282" s="18"/>
      <c r="L282" s="19">
        <f t="shared" si="12"/>
        <v>15222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>
        <v>18988</v>
      </c>
      <c r="G283" s="18">
        <v>3501</v>
      </c>
      <c r="H283" s="18"/>
      <c r="I283" s="18">
        <v>360</v>
      </c>
      <c r="J283" s="18">
        <v>420</v>
      </c>
      <c r="K283" s="18"/>
      <c r="L283" s="19">
        <f t="shared" si="12"/>
        <v>23269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>
        <v>163</v>
      </c>
      <c r="I287" s="18"/>
      <c r="J287" s="18"/>
      <c r="K287" s="18"/>
      <c r="L287" s="19">
        <f t="shared" si="12"/>
        <v>163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137087</v>
      </c>
      <c r="G290" s="42">
        <f t="shared" si="13"/>
        <v>41052</v>
      </c>
      <c r="H290" s="42">
        <f t="shared" si="13"/>
        <v>29038</v>
      </c>
      <c r="I290" s="42">
        <f t="shared" si="13"/>
        <v>11343</v>
      </c>
      <c r="J290" s="42">
        <f t="shared" si="13"/>
        <v>6582</v>
      </c>
      <c r="K290" s="42">
        <f t="shared" si="13"/>
        <v>1078</v>
      </c>
      <c r="L290" s="41">
        <f t="shared" si="13"/>
        <v>226180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>
        <v>67572</v>
      </c>
      <c r="G295" s="18">
        <v>20075</v>
      </c>
      <c r="H295" s="18">
        <v>1766</v>
      </c>
      <c r="I295" s="18">
        <v>6751</v>
      </c>
      <c r="J295" s="18">
        <v>4393</v>
      </c>
      <c r="K295" s="18">
        <v>138</v>
      </c>
      <c r="L295" s="19">
        <f>SUM(F295:K295)</f>
        <v>100695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>
        <v>27570</v>
      </c>
      <c r="G296" s="18">
        <v>10774</v>
      </c>
      <c r="H296" s="18">
        <v>373</v>
      </c>
      <c r="I296" s="18">
        <v>1665</v>
      </c>
      <c r="J296" s="18"/>
      <c r="K296" s="18"/>
      <c r="L296" s="19">
        <f>SUM(F296:K296)</f>
        <v>40382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>
        <v>407</v>
      </c>
      <c r="G298" s="18">
        <v>73</v>
      </c>
      <c r="H298" s="18"/>
      <c r="I298" s="18">
        <v>41</v>
      </c>
      <c r="J298" s="18"/>
      <c r="K298" s="18">
        <v>779</v>
      </c>
      <c r="L298" s="19">
        <f>SUM(F298:K298)</f>
        <v>1300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>
        <v>5319</v>
      </c>
      <c r="G300" s="18">
        <v>920</v>
      </c>
      <c r="H300" s="18">
        <v>10455</v>
      </c>
      <c r="I300" s="18">
        <v>751</v>
      </c>
      <c r="J300" s="18"/>
      <c r="K300" s="18"/>
      <c r="L300" s="19">
        <f t="shared" ref="L300:L306" si="14">SUM(F300:K300)</f>
        <v>17445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>
        <v>11965</v>
      </c>
      <c r="I301" s="18">
        <v>134</v>
      </c>
      <c r="J301" s="18">
        <v>848</v>
      </c>
      <c r="K301" s="18"/>
      <c r="L301" s="19">
        <f t="shared" si="14"/>
        <v>12947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>
        <v>16150</v>
      </c>
      <c r="G302" s="18">
        <v>2977</v>
      </c>
      <c r="H302" s="18"/>
      <c r="I302" s="18">
        <v>307</v>
      </c>
      <c r="J302" s="18">
        <v>357</v>
      </c>
      <c r="K302" s="18"/>
      <c r="L302" s="19">
        <f t="shared" si="14"/>
        <v>19791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>
        <v>139</v>
      </c>
      <c r="I306" s="18"/>
      <c r="J306" s="18"/>
      <c r="K306" s="18"/>
      <c r="L306" s="19">
        <f t="shared" si="14"/>
        <v>139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117018</v>
      </c>
      <c r="G309" s="42">
        <f t="shared" si="15"/>
        <v>34819</v>
      </c>
      <c r="H309" s="42">
        <f t="shared" si="15"/>
        <v>24698</v>
      </c>
      <c r="I309" s="42">
        <f t="shared" si="15"/>
        <v>9649</v>
      </c>
      <c r="J309" s="42">
        <f t="shared" si="15"/>
        <v>5598</v>
      </c>
      <c r="K309" s="42">
        <f t="shared" si="15"/>
        <v>917</v>
      </c>
      <c r="L309" s="41">
        <f t="shared" si="15"/>
        <v>192699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>
        <v>28620</v>
      </c>
      <c r="G315" s="18">
        <v>11185</v>
      </c>
      <c r="H315" s="18">
        <v>388</v>
      </c>
      <c r="I315" s="18">
        <v>1729</v>
      </c>
      <c r="J315" s="18"/>
      <c r="K315" s="18"/>
      <c r="L315" s="19">
        <f>SUM(F315:K315)</f>
        <v>41922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>
        <v>5522</v>
      </c>
      <c r="G319" s="18">
        <v>955</v>
      </c>
      <c r="H319" s="18">
        <v>10853</v>
      </c>
      <c r="I319" s="18">
        <v>779</v>
      </c>
      <c r="J319" s="18"/>
      <c r="K319" s="18"/>
      <c r="L319" s="19">
        <f t="shared" ref="L319:L325" si="16">SUM(F319:K319)</f>
        <v>18109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>
        <v>12359</v>
      </c>
      <c r="I320" s="18">
        <v>139</v>
      </c>
      <c r="J320" s="18"/>
      <c r="K320" s="18">
        <v>880</v>
      </c>
      <c r="L320" s="19">
        <f t="shared" si="16"/>
        <v>13378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34142</v>
      </c>
      <c r="G328" s="42">
        <f t="shared" si="17"/>
        <v>12140</v>
      </c>
      <c r="H328" s="42">
        <f t="shared" si="17"/>
        <v>23600</v>
      </c>
      <c r="I328" s="42">
        <f t="shared" si="17"/>
        <v>2647</v>
      </c>
      <c r="J328" s="42">
        <f t="shared" si="17"/>
        <v>0</v>
      </c>
      <c r="K328" s="42">
        <f t="shared" si="17"/>
        <v>880</v>
      </c>
      <c r="L328" s="41">
        <f t="shared" si="17"/>
        <v>73409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288247</v>
      </c>
      <c r="G338" s="41">
        <f t="shared" si="20"/>
        <v>88011</v>
      </c>
      <c r="H338" s="41">
        <f t="shared" si="20"/>
        <v>77336</v>
      </c>
      <c r="I338" s="41">
        <f t="shared" si="20"/>
        <v>23639</v>
      </c>
      <c r="J338" s="41">
        <f t="shared" si="20"/>
        <v>12180</v>
      </c>
      <c r="K338" s="41">
        <f t="shared" si="20"/>
        <v>2875</v>
      </c>
      <c r="L338" s="41">
        <f t="shared" si="20"/>
        <v>492288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288247</v>
      </c>
      <c r="G352" s="41">
        <f>G338</f>
        <v>88011</v>
      </c>
      <c r="H352" s="41">
        <f>H338</f>
        <v>77336</v>
      </c>
      <c r="I352" s="41">
        <f>I338</f>
        <v>23639</v>
      </c>
      <c r="J352" s="41">
        <f>J338</f>
        <v>12180</v>
      </c>
      <c r="K352" s="47">
        <f>K338+K351</f>
        <v>2875</v>
      </c>
      <c r="L352" s="41">
        <f>L338+L351</f>
        <v>492288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/>
      <c r="G358" s="18"/>
      <c r="H358" s="18">
        <v>157749</v>
      </c>
      <c r="I358" s="18">
        <v>19017</v>
      </c>
      <c r="J358" s="18"/>
      <c r="K358" s="18"/>
      <c r="L358" s="13">
        <f>SUM(F358:K358)</f>
        <v>176766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>
        <v>134171</v>
      </c>
      <c r="I359" s="18">
        <v>14530</v>
      </c>
      <c r="J359" s="18"/>
      <c r="K359" s="18"/>
      <c r="L359" s="19">
        <f>SUM(F359:K359)</f>
        <v>148701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>
        <v>139284</v>
      </c>
      <c r="I360" s="18">
        <v>3164</v>
      </c>
      <c r="J360" s="18"/>
      <c r="K360" s="18"/>
      <c r="L360" s="19">
        <f>SUM(F360:K360)</f>
        <v>142448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431204</v>
      </c>
      <c r="I362" s="47">
        <f t="shared" si="22"/>
        <v>36711</v>
      </c>
      <c r="J362" s="47">
        <f t="shared" si="22"/>
        <v>0</v>
      </c>
      <c r="K362" s="47">
        <f t="shared" si="22"/>
        <v>0</v>
      </c>
      <c r="L362" s="47">
        <f t="shared" si="22"/>
        <v>467915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15433</v>
      </c>
      <c r="G367" s="18">
        <v>11481</v>
      </c>
      <c r="H367" s="18">
        <v>0</v>
      </c>
      <c r="I367" s="56">
        <f>SUM(F367:H367)</f>
        <v>26914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3584</v>
      </c>
      <c r="G368" s="63">
        <v>3049</v>
      </c>
      <c r="H368" s="63">
        <v>3164</v>
      </c>
      <c r="I368" s="56">
        <f>SUM(F368:H368)</f>
        <v>9797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19017</v>
      </c>
      <c r="G369" s="47">
        <f>SUM(G367:G368)</f>
        <v>14530</v>
      </c>
      <c r="H369" s="47">
        <f>SUM(H367:H368)</f>
        <v>3164</v>
      </c>
      <c r="I369" s="47">
        <f>SUM(I367:I368)</f>
        <v>36711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>
        <v>35000</v>
      </c>
      <c r="H396" s="18">
        <v>719</v>
      </c>
      <c r="I396" s="18"/>
      <c r="J396" s="24" t="s">
        <v>289</v>
      </c>
      <c r="K396" s="24" t="s">
        <v>289</v>
      </c>
      <c r="L396" s="56">
        <f t="shared" si="26"/>
        <v>35719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>
        <v>50000</v>
      </c>
      <c r="H397" s="18">
        <v>1158</v>
      </c>
      <c r="I397" s="18"/>
      <c r="J397" s="24" t="s">
        <v>289</v>
      </c>
      <c r="K397" s="24" t="s">
        <v>289</v>
      </c>
      <c r="L397" s="56">
        <f t="shared" si="26"/>
        <v>51158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85000</v>
      </c>
      <c r="H401" s="47">
        <f>SUM(H395:H400)</f>
        <v>1877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86877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85000</v>
      </c>
      <c r="H408" s="47">
        <f>H393+H401+H407</f>
        <v>1877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86877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>
        <f>128610+102160</f>
        <v>230770</v>
      </c>
      <c r="H440" s="18"/>
      <c r="I440" s="56">
        <f t="shared" si="33"/>
        <v>230770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230770</v>
      </c>
      <c r="H446" s="13">
        <f>SUM(H439:H445)</f>
        <v>0</v>
      </c>
      <c r="I446" s="13">
        <f>SUM(I439:I445)</f>
        <v>230770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>
        <v>230770</v>
      </c>
      <c r="H459" s="18"/>
      <c r="I459" s="56">
        <f t="shared" si="34"/>
        <v>230770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230770</v>
      </c>
      <c r="H460" s="83">
        <f>SUM(H454:H459)</f>
        <v>0</v>
      </c>
      <c r="I460" s="83">
        <f>SUM(I454:I459)</f>
        <v>230770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230770</v>
      </c>
      <c r="H461" s="42">
        <f>H452+H460</f>
        <v>0</v>
      </c>
      <c r="I461" s="42">
        <f>I452+I460</f>
        <v>230770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891</v>
      </c>
      <c r="B465" s="105">
        <v>19</v>
      </c>
      <c r="C465" s="111">
        <v>1</v>
      </c>
      <c r="D465" s="2" t="s">
        <v>433</v>
      </c>
      <c r="E465" s="111"/>
      <c r="F465" s="18">
        <v>924851</v>
      </c>
      <c r="G465" s="18">
        <v>17571</v>
      </c>
      <c r="H465" s="18">
        <v>10281</v>
      </c>
      <c r="I465" s="18"/>
      <c r="J465" s="18">
        <v>143893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f>F193</f>
        <v>16358779.52</v>
      </c>
      <c r="G468" s="18">
        <f>G193</f>
        <v>459155.44</v>
      </c>
      <c r="H468" s="18">
        <f>H193</f>
        <v>492288</v>
      </c>
      <c r="I468" s="18"/>
      <c r="J468" s="18">
        <f>230770-228893+85000</f>
        <v>86877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16358779.52</v>
      </c>
      <c r="G470" s="53">
        <f>SUM(G468:G469)</f>
        <v>459155.44</v>
      </c>
      <c r="H470" s="53">
        <f>SUM(H468:H469)</f>
        <v>492288</v>
      </c>
      <c r="I470" s="53">
        <f>SUM(I468:I469)</f>
        <v>0</v>
      </c>
      <c r="J470" s="53">
        <f>SUM(J468:J469)</f>
        <v>86877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f>L271</f>
        <v>16264649.560000001</v>
      </c>
      <c r="G472" s="18">
        <f>L362</f>
        <v>467915</v>
      </c>
      <c r="H472" s="18">
        <f>L352</f>
        <v>492288</v>
      </c>
      <c r="I472" s="18"/>
      <c r="J472" s="18"/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>
        <v>20031.28</v>
      </c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16284680.84</v>
      </c>
      <c r="G474" s="53">
        <f>SUM(G472:G473)</f>
        <v>467915</v>
      </c>
      <c r="H474" s="53">
        <f>SUM(H472:H473)</f>
        <v>492288</v>
      </c>
      <c r="I474" s="53">
        <f>SUM(I472:I473)</f>
        <v>0</v>
      </c>
      <c r="J474" s="53">
        <f>SUM(J472:J473)</f>
        <v>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892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998949.6799999997</v>
      </c>
      <c r="G476" s="53">
        <f>(G465+G470)- G474</f>
        <v>8811.4400000000023</v>
      </c>
      <c r="H476" s="53">
        <f>(H465+H470)- H474</f>
        <v>10281</v>
      </c>
      <c r="I476" s="53">
        <f>(I465+I470)- I474</f>
        <v>0</v>
      </c>
      <c r="J476" s="53">
        <f>(J465+J470)- J474</f>
        <v>230770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893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>
        <v>16</v>
      </c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 t="s">
        <v>912</v>
      </c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 t="s">
        <v>913</v>
      </c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>
        <v>23623315</v>
      </c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>
        <v>5.39</v>
      </c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>
        <v>20660000</v>
      </c>
      <c r="G495" s="18"/>
      <c r="H495" s="18"/>
      <c r="I495" s="18"/>
      <c r="J495" s="18"/>
      <c r="K495" s="53">
        <f>SUM(F495:J495)</f>
        <v>20660000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>
        <v>0</v>
      </c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>
        <v>1480000</v>
      </c>
      <c r="G497" s="18"/>
      <c r="H497" s="18"/>
      <c r="I497" s="18"/>
      <c r="J497" s="18"/>
      <c r="K497" s="53">
        <f t="shared" si="35"/>
        <v>1480000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>
        <f>F495-F497</f>
        <v>19180000</v>
      </c>
      <c r="G498" s="204"/>
      <c r="H498" s="204"/>
      <c r="I498" s="204"/>
      <c r="J498" s="204"/>
      <c r="K498" s="205">
        <f t="shared" si="35"/>
        <v>19180000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>
        <f>7791785-1079688</f>
        <v>6712097</v>
      </c>
      <c r="G499" s="18"/>
      <c r="H499" s="18"/>
      <c r="I499" s="18"/>
      <c r="J499" s="18"/>
      <c r="K499" s="53">
        <f t="shared" si="35"/>
        <v>6712097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25892097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25892097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>
        <f>F497</f>
        <v>1480000</v>
      </c>
      <c r="G501" s="204"/>
      <c r="H501" s="204"/>
      <c r="I501" s="204"/>
      <c r="J501" s="204"/>
      <c r="K501" s="205">
        <f t="shared" si="35"/>
        <v>1480000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>
        <f>F498*0.0539</f>
        <v>1033802.0000000001</v>
      </c>
      <c r="G502" s="18"/>
      <c r="H502" s="18"/>
      <c r="I502" s="18"/>
      <c r="J502" s="18"/>
      <c r="K502" s="53">
        <f t="shared" si="35"/>
        <v>1033802.0000000001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2513802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2513802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894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313010</v>
      </c>
      <c r="G521" s="18">
        <v>87263</v>
      </c>
      <c r="H521" s="18">
        <v>49388</v>
      </c>
      <c r="I521" s="18">
        <v>2066</v>
      </c>
      <c r="J521" s="18">
        <v>451</v>
      </c>
      <c r="K521" s="18"/>
      <c r="L521" s="88">
        <f>SUM(F521:K521)</f>
        <v>452178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>
        <v>248415</v>
      </c>
      <c r="G522" s="18">
        <v>75907</v>
      </c>
      <c r="H522" s="18">
        <v>71353</v>
      </c>
      <c r="I522" s="18">
        <v>1789</v>
      </c>
      <c r="J522" s="18"/>
      <c r="K522" s="18"/>
      <c r="L522" s="88">
        <f>SUM(F522:K522)</f>
        <v>397464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312177</v>
      </c>
      <c r="G523" s="18">
        <v>121308</v>
      </c>
      <c r="H523" s="18">
        <v>214264</v>
      </c>
      <c r="I523" s="18">
        <v>1830</v>
      </c>
      <c r="J523" s="18">
        <v>75</v>
      </c>
      <c r="K523" s="18"/>
      <c r="L523" s="88">
        <f>SUM(F523:K523)</f>
        <v>649654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873602</v>
      </c>
      <c r="G524" s="108">
        <f t="shared" ref="G524:L524" si="36">SUM(G521:G523)</f>
        <v>284478</v>
      </c>
      <c r="H524" s="108">
        <f t="shared" si="36"/>
        <v>335005</v>
      </c>
      <c r="I524" s="108">
        <f t="shared" si="36"/>
        <v>5685</v>
      </c>
      <c r="J524" s="108">
        <f t="shared" si="36"/>
        <v>526</v>
      </c>
      <c r="K524" s="108">
        <f t="shared" si="36"/>
        <v>0</v>
      </c>
      <c r="L524" s="89">
        <f t="shared" si="36"/>
        <v>1499296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82348</v>
      </c>
      <c r="G526" s="18">
        <v>18013</v>
      </c>
      <c r="H526" s="18">
        <v>112576</v>
      </c>
      <c r="I526" s="18">
        <v>631</v>
      </c>
      <c r="J526" s="18">
        <v>123</v>
      </c>
      <c r="K526" s="18"/>
      <c r="L526" s="88">
        <f>SUM(F526:K526)</f>
        <v>213691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>
        <v>31055</v>
      </c>
      <c r="G527" s="18">
        <v>13341</v>
      </c>
      <c r="H527" s="18">
        <v>54433</v>
      </c>
      <c r="I527" s="18">
        <v>454</v>
      </c>
      <c r="J527" s="18">
        <v>104</v>
      </c>
      <c r="K527" s="18"/>
      <c r="L527" s="88">
        <f>SUM(F527:K527)</f>
        <v>99387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>
        <v>31416</v>
      </c>
      <c r="G528" s="18">
        <v>13507</v>
      </c>
      <c r="H528" s="18">
        <v>61865</v>
      </c>
      <c r="I528" s="18">
        <v>202</v>
      </c>
      <c r="J528" s="18">
        <v>108</v>
      </c>
      <c r="K528" s="18"/>
      <c r="L528" s="88">
        <f>SUM(F528:K528)</f>
        <v>107098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144819</v>
      </c>
      <c r="G529" s="89">
        <f t="shared" ref="G529:L529" si="37">SUM(G526:G528)</f>
        <v>44861</v>
      </c>
      <c r="H529" s="89">
        <f t="shared" si="37"/>
        <v>228874</v>
      </c>
      <c r="I529" s="89">
        <f t="shared" si="37"/>
        <v>1287</v>
      </c>
      <c r="J529" s="89">
        <f t="shared" si="37"/>
        <v>335</v>
      </c>
      <c r="K529" s="89">
        <f t="shared" si="37"/>
        <v>0</v>
      </c>
      <c r="L529" s="89">
        <f t="shared" si="37"/>
        <v>420176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45552</v>
      </c>
      <c r="G531" s="18">
        <v>21510</v>
      </c>
      <c r="H531" s="18">
        <v>7445</v>
      </c>
      <c r="I531" s="18">
        <v>719</v>
      </c>
      <c r="J531" s="18"/>
      <c r="K531" s="18">
        <v>897</v>
      </c>
      <c r="L531" s="88">
        <f>SUM(F531:K531)</f>
        <v>76123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>
        <v>38744</v>
      </c>
      <c r="G532" s="18">
        <v>18295</v>
      </c>
      <c r="H532" s="18">
        <v>6333</v>
      </c>
      <c r="I532" s="18">
        <v>612</v>
      </c>
      <c r="J532" s="18"/>
      <c r="K532" s="18">
        <v>762</v>
      </c>
      <c r="L532" s="88">
        <f>SUM(F532:K532)</f>
        <v>64746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>
        <v>40220</v>
      </c>
      <c r="G533" s="18">
        <v>18992</v>
      </c>
      <c r="H533" s="18">
        <v>6574</v>
      </c>
      <c r="I533" s="18">
        <v>635</v>
      </c>
      <c r="J533" s="18"/>
      <c r="K533" s="18">
        <v>792</v>
      </c>
      <c r="L533" s="88">
        <f>SUM(F533:K533)</f>
        <v>67213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124516</v>
      </c>
      <c r="G534" s="89">
        <f t="shared" ref="G534:L534" si="38">SUM(G531:G533)</f>
        <v>58797</v>
      </c>
      <c r="H534" s="89">
        <f t="shared" si="38"/>
        <v>20352</v>
      </c>
      <c r="I534" s="89">
        <f t="shared" si="38"/>
        <v>1966</v>
      </c>
      <c r="J534" s="89">
        <f t="shared" si="38"/>
        <v>0</v>
      </c>
      <c r="K534" s="89">
        <f t="shared" si="38"/>
        <v>2451</v>
      </c>
      <c r="L534" s="89">
        <f t="shared" si="38"/>
        <v>208082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>
        <v>1311</v>
      </c>
      <c r="I536" s="18"/>
      <c r="J536" s="18"/>
      <c r="K536" s="18"/>
      <c r="L536" s="88">
        <f>SUM(F536:K536)</f>
        <v>1311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>
        <v>1115</v>
      </c>
      <c r="I537" s="18"/>
      <c r="J537" s="18"/>
      <c r="K537" s="18"/>
      <c r="L537" s="88">
        <f>SUM(F537:K537)</f>
        <v>1115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>
        <v>3143</v>
      </c>
      <c r="I538" s="18"/>
      <c r="J538" s="18"/>
      <c r="K538" s="18"/>
      <c r="L538" s="88">
        <f>SUM(F538:K538)</f>
        <v>3143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5569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5569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64135</v>
      </c>
      <c r="I541" s="18"/>
      <c r="J541" s="18"/>
      <c r="K541" s="18"/>
      <c r="L541" s="88">
        <f>SUM(F541:K541)</f>
        <v>64135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>
        <v>34756</v>
      </c>
      <c r="I542" s="18"/>
      <c r="J542" s="18"/>
      <c r="K542" s="18"/>
      <c r="L542" s="88">
        <f>SUM(F542:K542)</f>
        <v>34756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111053</v>
      </c>
      <c r="I543" s="18"/>
      <c r="J543" s="18"/>
      <c r="K543" s="18"/>
      <c r="L543" s="88">
        <f>SUM(F543:K543)</f>
        <v>111053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209944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209944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1142937</v>
      </c>
      <c r="G545" s="89">
        <f t="shared" ref="G545:L545" si="41">G524+G529+G534+G539+G544</f>
        <v>388136</v>
      </c>
      <c r="H545" s="89">
        <f t="shared" si="41"/>
        <v>799744</v>
      </c>
      <c r="I545" s="89">
        <f t="shared" si="41"/>
        <v>8938</v>
      </c>
      <c r="J545" s="89">
        <f t="shared" si="41"/>
        <v>861</v>
      </c>
      <c r="K545" s="89">
        <f t="shared" si="41"/>
        <v>2451</v>
      </c>
      <c r="L545" s="89">
        <f t="shared" si="41"/>
        <v>2343067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452178</v>
      </c>
      <c r="G549" s="87">
        <f>L526</f>
        <v>213691</v>
      </c>
      <c r="H549" s="87">
        <f>L531</f>
        <v>76123</v>
      </c>
      <c r="I549" s="87">
        <f>L536</f>
        <v>1311</v>
      </c>
      <c r="J549" s="87">
        <f>L541</f>
        <v>64135</v>
      </c>
      <c r="K549" s="87">
        <f>SUM(F549:J549)</f>
        <v>807438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397464</v>
      </c>
      <c r="G550" s="87">
        <f>L527</f>
        <v>99387</v>
      </c>
      <c r="H550" s="87">
        <f>L532</f>
        <v>64746</v>
      </c>
      <c r="I550" s="87">
        <f>L537</f>
        <v>1115</v>
      </c>
      <c r="J550" s="87">
        <f>L542</f>
        <v>34756</v>
      </c>
      <c r="K550" s="87">
        <f>SUM(F550:J550)</f>
        <v>597468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649654</v>
      </c>
      <c r="G551" s="87">
        <f>L528</f>
        <v>107098</v>
      </c>
      <c r="H551" s="87">
        <f>L533</f>
        <v>67213</v>
      </c>
      <c r="I551" s="87">
        <f>L538</f>
        <v>3143</v>
      </c>
      <c r="J551" s="87">
        <f>L543</f>
        <v>111053</v>
      </c>
      <c r="K551" s="87">
        <f>SUM(F551:J551)</f>
        <v>938161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1499296</v>
      </c>
      <c r="G552" s="89">
        <f t="shared" si="42"/>
        <v>420176</v>
      </c>
      <c r="H552" s="89">
        <f t="shared" si="42"/>
        <v>208082</v>
      </c>
      <c r="I552" s="89">
        <f t="shared" si="42"/>
        <v>5569</v>
      </c>
      <c r="J552" s="89">
        <f t="shared" si="42"/>
        <v>209944</v>
      </c>
      <c r="K552" s="89">
        <f t="shared" si="42"/>
        <v>2343067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>
        <v>24338</v>
      </c>
      <c r="I579" s="87">
        <f t="shared" si="47"/>
        <v>24338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48949</v>
      </c>
      <c r="G582" s="18">
        <v>70913</v>
      </c>
      <c r="H582" s="18">
        <v>189346</v>
      </c>
      <c r="I582" s="87">
        <f t="shared" si="47"/>
        <v>309208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>
        <v>3347</v>
      </c>
      <c r="I584" s="87">
        <f t="shared" si="47"/>
        <v>3347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f>152000+4485</f>
        <v>156485</v>
      </c>
      <c r="I591" s="18">
        <v>152108</v>
      </c>
      <c r="J591" s="18">
        <v>155394</v>
      </c>
      <c r="K591" s="104">
        <f t="shared" ref="K591:K597" si="48">SUM(H591:J591)</f>
        <v>463987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64135</v>
      </c>
      <c r="I592" s="18">
        <v>34756</v>
      </c>
      <c r="J592" s="18">
        <v>111053</v>
      </c>
      <c r="K592" s="104">
        <f t="shared" si="48"/>
        <v>209944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>
        <v>25214</v>
      </c>
      <c r="K593" s="104">
        <f t="shared" si="48"/>
        <v>25214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>
        <v>13234</v>
      </c>
      <c r="J594" s="18">
        <v>29580</v>
      </c>
      <c r="K594" s="104">
        <f t="shared" si="48"/>
        <v>42814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>
        <v>1731</v>
      </c>
      <c r="J595" s="18">
        <v>1084</v>
      </c>
      <c r="K595" s="104">
        <f t="shared" si="48"/>
        <v>2815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220620</v>
      </c>
      <c r="I598" s="108">
        <f>SUM(I591:I597)</f>
        <v>201829</v>
      </c>
      <c r="J598" s="108">
        <f>SUM(J591:J597)</f>
        <v>322325</v>
      </c>
      <c r="K598" s="108">
        <f>SUM(K591:K597)</f>
        <v>744774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35453</v>
      </c>
      <c r="I604" s="18">
        <v>60192</v>
      </c>
      <c r="J604" s="18">
        <v>100530</v>
      </c>
      <c r="K604" s="104">
        <f>SUM(H604:J604)</f>
        <v>196175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35453</v>
      </c>
      <c r="I605" s="108">
        <f>SUM(I602:I604)</f>
        <v>60192</v>
      </c>
      <c r="J605" s="108">
        <f>SUM(J602:J604)</f>
        <v>100530</v>
      </c>
      <c r="K605" s="108">
        <f>SUM(K602:K604)</f>
        <v>196175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>
        <v>7232</v>
      </c>
      <c r="G611" s="18">
        <v>1311</v>
      </c>
      <c r="H611" s="18"/>
      <c r="I611" s="18">
        <v>570</v>
      </c>
      <c r="J611" s="18"/>
      <c r="K611" s="18">
        <v>916</v>
      </c>
      <c r="L611" s="88">
        <f>SUM(F611:K611)</f>
        <v>10029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>
        <v>5044</v>
      </c>
      <c r="G612" s="18">
        <v>807</v>
      </c>
      <c r="H612" s="18"/>
      <c r="I612" s="18">
        <v>41</v>
      </c>
      <c r="J612" s="18"/>
      <c r="K612" s="18">
        <v>779</v>
      </c>
      <c r="L612" s="88">
        <f>SUM(F612:K612)</f>
        <v>6671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12276</v>
      </c>
      <c r="G614" s="108">
        <f t="shared" si="49"/>
        <v>2118</v>
      </c>
      <c r="H614" s="108">
        <f t="shared" si="49"/>
        <v>0</v>
      </c>
      <c r="I614" s="108">
        <f t="shared" si="49"/>
        <v>611</v>
      </c>
      <c r="J614" s="108">
        <f t="shared" si="49"/>
        <v>0</v>
      </c>
      <c r="K614" s="108">
        <f t="shared" si="49"/>
        <v>1695</v>
      </c>
      <c r="L614" s="89">
        <f t="shared" si="49"/>
        <v>16700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1092338.5900000001</v>
      </c>
      <c r="H617" s="109">
        <f>SUM(F52)</f>
        <v>1092338.5899999999</v>
      </c>
      <c r="I617" s="121" t="s">
        <v>900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40748.769999999997</v>
      </c>
      <c r="H618" s="109">
        <f>SUM(G52)</f>
        <v>40748.770000000004</v>
      </c>
      <c r="I618" s="121" t="s">
        <v>901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34612.300000000003</v>
      </c>
      <c r="H619" s="109">
        <f>SUM(H52)</f>
        <v>34612.299999999988</v>
      </c>
      <c r="I619" s="121" t="s">
        <v>902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903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230770</v>
      </c>
      <c r="H621" s="109">
        <f>SUM(J52)</f>
        <v>230770</v>
      </c>
      <c r="I621" s="121" t="s">
        <v>904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998949.67999999993</v>
      </c>
      <c r="H622" s="109">
        <f>F476</f>
        <v>998949.6799999997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8811.44</v>
      </c>
      <c r="H623" s="109">
        <f>G476</f>
        <v>8811.4400000000023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10281</v>
      </c>
      <c r="H624" s="109">
        <f>H476</f>
        <v>10281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230770</v>
      </c>
      <c r="H626" s="109">
        <f>J476</f>
        <v>230770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16358779.52</v>
      </c>
      <c r="H627" s="104">
        <f>SUM(F468)</f>
        <v>16358779.52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459155.44</v>
      </c>
      <c r="H628" s="104">
        <f>SUM(G468)</f>
        <v>459155.44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492288</v>
      </c>
      <c r="H629" s="104">
        <f>SUM(H468)</f>
        <v>492288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86877</v>
      </c>
      <c r="H631" s="104">
        <f>SUM(J468)</f>
        <v>86877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16264649.560000001</v>
      </c>
      <c r="H632" s="104">
        <f>SUM(F472)</f>
        <v>16264649.560000001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492288</v>
      </c>
      <c r="H633" s="104">
        <f>SUM(H472)</f>
        <v>492288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36711</v>
      </c>
      <c r="H634" s="104">
        <f>I369</f>
        <v>36711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467915</v>
      </c>
      <c r="H635" s="104">
        <f>SUM(G472)</f>
        <v>467915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86877</v>
      </c>
      <c r="H637" s="164">
        <f>SUM(J468)</f>
        <v>86877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230770</v>
      </c>
      <c r="H640" s="104">
        <f>SUM(G461)</f>
        <v>230770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230770</v>
      </c>
      <c r="H642" s="104">
        <f>SUM(I461)</f>
        <v>230770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1877</v>
      </c>
      <c r="H644" s="104">
        <f>H408</f>
        <v>1877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85000</v>
      </c>
      <c r="H645" s="104">
        <f>G408</f>
        <v>85000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86877</v>
      </c>
      <c r="H646" s="104">
        <f>L408</f>
        <v>86877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744774</v>
      </c>
      <c r="H647" s="104">
        <f>L208+L226+L244</f>
        <v>744774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196175</v>
      </c>
      <c r="H648" s="104">
        <f>(J257+J338)-(J255+J336)</f>
        <v>196175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220620</v>
      </c>
      <c r="H649" s="104">
        <f>H598</f>
        <v>220620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201829</v>
      </c>
      <c r="H650" s="104">
        <f>I598</f>
        <v>201829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322325</v>
      </c>
      <c r="H651" s="104">
        <f>J598</f>
        <v>322325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21294.560000000001</v>
      </c>
      <c r="H652" s="104">
        <f>K263+K345</f>
        <v>21294.560000000001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85000</v>
      </c>
      <c r="H655" s="104">
        <f>K266+K347</f>
        <v>85000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4736785</v>
      </c>
      <c r="G660" s="19">
        <f>(L229+L309+L359)</f>
        <v>4487678</v>
      </c>
      <c r="H660" s="19">
        <f>(L247+L328+L360)</f>
        <v>5340407</v>
      </c>
      <c r="I660" s="19">
        <f>SUM(F660:H660)</f>
        <v>14564870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76393.866780334036</v>
      </c>
      <c r="G661" s="19">
        <f>(L359/IF(SUM(L358:L360)=0,1,SUM(L358:L360))*(SUM(G97:G110)))</f>
        <v>64264.872113995065</v>
      </c>
      <c r="H661" s="19">
        <f>(L360/IF(SUM(L358:L360)=0,1,SUM(L358:L360))*(SUM(G97:G110)))</f>
        <v>61562.481105670908</v>
      </c>
      <c r="I661" s="19">
        <f>SUM(F661:H661)</f>
        <v>202221.22000000003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220783</v>
      </c>
      <c r="G662" s="19">
        <f>(L226+L306)-(J226+J306)</f>
        <v>201968</v>
      </c>
      <c r="H662" s="19">
        <f>(L244+L325)-(J244+J325)</f>
        <v>322325</v>
      </c>
      <c r="I662" s="19">
        <f>SUM(F662:H662)</f>
        <v>745076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94431</v>
      </c>
      <c r="G663" s="199">
        <f>SUM(G575:G587)+SUM(I602:I604)+L612</f>
        <v>137776</v>
      </c>
      <c r="H663" s="199">
        <f>SUM(H575:H587)+SUM(J602:J604)+L613</f>
        <v>317561</v>
      </c>
      <c r="I663" s="19">
        <f>SUM(F663:H663)</f>
        <v>549768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4345177.1332196658</v>
      </c>
      <c r="G664" s="19">
        <f>G660-SUM(G661:G663)</f>
        <v>4083669.1278860047</v>
      </c>
      <c r="H664" s="19">
        <f>H660-SUM(H661:H663)</f>
        <v>4638958.5188943287</v>
      </c>
      <c r="I664" s="19">
        <f>I660-SUM(I661:I663)</f>
        <v>13067804.779999999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396.84</v>
      </c>
      <c r="G665" s="248">
        <v>335.5</v>
      </c>
      <c r="H665" s="248">
        <v>342.01</v>
      </c>
      <c r="I665" s="19">
        <f>SUM(F665:H665)</f>
        <v>1074.3499999999999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10949.44</v>
      </c>
      <c r="G667" s="19">
        <f>ROUND(G664/G665,2)</f>
        <v>12171.89</v>
      </c>
      <c r="H667" s="19">
        <f>ROUND(H664/H665,2)</f>
        <v>13563.81</v>
      </c>
      <c r="I667" s="19">
        <f>ROUND(I664/I665,2)</f>
        <v>12163.45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5.05</v>
      </c>
      <c r="I670" s="19">
        <f>SUM(F670:H670)</f>
        <v>5.05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10949.44</v>
      </c>
      <c r="G672" s="19">
        <f>ROUND((G664+G669)/(G665+G670),2)</f>
        <v>12171.89</v>
      </c>
      <c r="H672" s="19">
        <f>ROUND((H664+H669)/(H665+H670),2)</f>
        <v>13366.45</v>
      </c>
      <c r="I672" s="19">
        <f>ROUND((I664+I669)/(I665+I670),2)</f>
        <v>12106.55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2013-2014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topLeftCell="A31" workbookViewId="0">
      <selection activeCell="C42" sqref="C42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Mascenic Regional School District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2013-2014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3928838</v>
      </c>
      <c r="C9" s="229">
        <f>'DOE25'!G197+'DOE25'!G215+'DOE25'!G233+'DOE25'!G276+'DOE25'!G295+'DOE25'!G314</f>
        <v>1824433</v>
      </c>
    </row>
    <row r="10" spans="1:3" x14ac:dyDescent="0.2">
      <c r="A10" t="s">
        <v>779</v>
      </c>
      <c r="B10" s="240">
        <v>3928838</v>
      </c>
      <c r="C10" s="240">
        <v>1824433</v>
      </c>
    </row>
    <row r="11" spans="1:3" x14ac:dyDescent="0.2">
      <c r="A11" t="s">
        <v>780</v>
      </c>
      <c r="B11" s="240"/>
      <c r="C11" s="240"/>
    </row>
    <row r="12" spans="1:3" x14ac:dyDescent="0.2">
      <c r="A12" t="s">
        <v>781</v>
      </c>
      <c r="B12" s="240"/>
      <c r="C12" s="240"/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3928838</v>
      </c>
      <c r="C13" s="231">
        <f>SUM(C10:C12)</f>
        <v>1824433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873603</v>
      </c>
      <c r="C18" s="229">
        <f>'DOE25'!G198+'DOE25'!G216+'DOE25'!G234+'DOE25'!G277+'DOE25'!G296+'DOE25'!G315</f>
        <v>284477</v>
      </c>
    </row>
    <row r="19" spans="1:3" x14ac:dyDescent="0.2">
      <c r="A19" t="s">
        <v>779</v>
      </c>
      <c r="B19" s="240">
        <v>458541</v>
      </c>
      <c r="C19" s="240">
        <v>217870</v>
      </c>
    </row>
    <row r="20" spans="1:3" x14ac:dyDescent="0.2">
      <c r="A20" t="s">
        <v>780</v>
      </c>
      <c r="B20" s="240">
        <v>415062</v>
      </c>
      <c r="C20" s="240">
        <v>66607</v>
      </c>
    </row>
    <row r="21" spans="1:3" x14ac:dyDescent="0.2">
      <c r="A21" t="s">
        <v>781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873603</v>
      </c>
      <c r="C22" s="231">
        <f>SUM(C19:C21)</f>
        <v>284477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95171</v>
      </c>
      <c r="C27" s="234">
        <f>'DOE25'!G199+'DOE25'!G217+'DOE25'!G235+'DOE25'!G278+'DOE25'!G297+'DOE25'!G316</f>
        <v>34902</v>
      </c>
    </row>
    <row r="28" spans="1:3" x14ac:dyDescent="0.2">
      <c r="A28" t="s">
        <v>779</v>
      </c>
      <c r="B28" s="240">
        <v>89583</v>
      </c>
      <c r="C28" s="240">
        <v>34355</v>
      </c>
    </row>
    <row r="29" spans="1:3" x14ac:dyDescent="0.2">
      <c r="A29" t="s">
        <v>780</v>
      </c>
      <c r="B29" s="240">
        <v>5588</v>
      </c>
      <c r="C29" s="240">
        <v>547</v>
      </c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95171</v>
      </c>
      <c r="C31" s="231">
        <f>SUM(C28:C30)</f>
        <v>34902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102420</v>
      </c>
      <c r="C36" s="235">
        <f>'DOE25'!G200+'DOE25'!G218+'DOE25'!G236+'DOE25'!G279+'DOE25'!G298+'DOE25'!G317</f>
        <v>14869</v>
      </c>
    </row>
    <row r="37" spans="1:3" x14ac:dyDescent="0.2">
      <c r="A37" t="s">
        <v>779</v>
      </c>
      <c r="B37" s="240">
        <v>25833</v>
      </c>
      <c r="C37" s="240">
        <v>4583</v>
      </c>
    </row>
    <row r="38" spans="1:3" x14ac:dyDescent="0.2">
      <c r="A38" t="s">
        <v>780</v>
      </c>
      <c r="B38" s="240">
        <v>4320</v>
      </c>
      <c r="C38" s="240">
        <v>326</v>
      </c>
    </row>
    <row r="39" spans="1:3" x14ac:dyDescent="0.2">
      <c r="A39" t="s">
        <v>781</v>
      </c>
      <c r="B39" s="240">
        <v>72267</v>
      </c>
      <c r="C39" s="240">
        <v>9960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102420</v>
      </c>
      <c r="C40" s="231">
        <f>SUM(C37:C39)</f>
        <v>14869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9" sqref="D9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Mascenic Regional School District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7680400</v>
      </c>
      <c r="D5" s="20">
        <f>SUM('DOE25'!L197:L200)+SUM('DOE25'!L215:L218)+SUM('DOE25'!L233:L236)-F5-G5</f>
        <v>7513514</v>
      </c>
      <c r="E5" s="243"/>
      <c r="F5" s="255">
        <f>SUM('DOE25'!J197:J200)+SUM('DOE25'!J215:J218)+SUM('DOE25'!J233:J236)</f>
        <v>151282</v>
      </c>
      <c r="G5" s="53">
        <f>SUM('DOE25'!K197:K200)+SUM('DOE25'!K215:K218)+SUM('DOE25'!K233:K236)</f>
        <v>15604</v>
      </c>
      <c r="H5" s="259"/>
    </row>
    <row r="6" spans="1:9" x14ac:dyDescent="0.2">
      <c r="A6" s="32">
        <v>2100</v>
      </c>
      <c r="B6" t="s">
        <v>801</v>
      </c>
      <c r="C6" s="245">
        <f t="shared" si="0"/>
        <v>1081226</v>
      </c>
      <c r="D6" s="20">
        <f>'DOE25'!L202+'DOE25'!L220+'DOE25'!L238-F6-G6</f>
        <v>1079644</v>
      </c>
      <c r="E6" s="243"/>
      <c r="F6" s="255">
        <f>'DOE25'!J202+'DOE25'!J220+'DOE25'!J238</f>
        <v>535</v>
      </c>
      <c r="G6" s="53">
        <f>'DOE25'!K202+'DOE25'!K220+'DOE25'!K238</f>
        <v>1047</v>
      </c>
      <c r="H6" s="259"/>
    </row>
    <row r="7" spans="1:9" x14ac:dyDescent="0.2">
      <c r="A7" s="32">
        <v>2200</v>
      </c>
      <c r="B7" t="s">
        <v>834</v>
      </c>
      <c r="C7" s="245">
        <f t="shared" si="0"/>
        <v>320054</v>
      </c>
      <c r="D7" s="20">
        <f>'DOE25'!L203+'DOE25'!L221+'DOE25'!L239-F7-G7</f>
        <v>319690</v>
      </c>
      <c r="E7" s="243"/>
      <c r="F7" s="255">
        <f>'DOE25'!J203+'DOE25'!J221+'DOE25'!J239</f>
        <v>213</v>
      </c>
      <c r="G7" s="53">
        <f>'DOE25'!K203+'DOE25'!K221+'DOE25'!K239</f>
        <v>151</v>
      </c>
      <c r="H7" s="259"/>
    </row>
    <row r="8" spans="1:9" x14ac:dyDescent="0.2">
      <c r="A8" s="32">
        <v>2300</v>
      </c>
      <c r="B8" t="s">
        <v>802</v>
      </c>
      <c r="C8" s="245">
        <f t="shared" si="0"/>
        <v>403066</v>
      </c>
      <c r="D8" s="243"/>
      <c r="E8" s="20">
        <f>'DOE25'!L204+'DOE25'!L222+'DOE25'!L240-F8-G8-D9-D11</f>
        <v>234939</v>
      </c>
      <c r="F8" s="255">
        <f>'DOE25'!J204+'DOE25'!J222+'DOE25'!J240</f>
        <v>2541</v>
      </c>
      <c r="G8" s="53">
        <f>'DOE25'!K204+'DOE25'!K222+'DOE25'!K240</f>
        <v>165586</v>
      </c>
      <c r="H8" s="259"/>
    </row>
    <row r="9" spans="1:9" x14ac:dyDescent="0.2">
      <c r="A9" s="32">
        <v>2310</v>
      </c>
      <c r="B9" t="s">
        <v>818</v>
      </c>
      <c r="C9" s="245">
        <f t="shared" si="0"/>
        <v>134421</v>
      </c>
      <c r="D9" s="244">
        <v>134421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40239</v>
      </c>
      <c r="D10" s="243"/>
      <c r="E10" s="244">
        <v>40239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235500</v>
      </c>
      <c r="D11" s="244">
        <v>235500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1024475</v>
      </c>
      <c r="D12" s="20">
        <f>'DOE25'!L205+'DOE25'!L223+'DOE25'!L241-F12-G12</f>
        <v>1010402</v>
      </c>
      <c r="E12" s="243"/>
      <c r="F12" s="255">
        <f>'DOE25'!J205+'DOE25'!J223+'DOE25'!J241</f>
        <v>4273</v>
      </c>
      <c r="G12" s="53">
        <f>'DOE25'!K205+'DOE25'!K223+'DOE25'!K241</f>
        <v>9800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262614</v>
      </c>
      <c r="D13" s="243"/>
      <c r="E13" s="20">
        <f>'DOE25'!L206+'DOE25'!L224+'DOE25'!L242-F13-G13</f>
        <v>260567</v>
      </c>
      <c r="F13" s="255">
        <f>'DOE25'!J206+'DOE25'!J224+'DOE25'!J242</f>
        <v>1077</v>
      </c>
      <c r="G13" s="53">
        <f>'DOE25'!K206+'DOE25'!K224+'DOE25'!K242</f>
        <v>970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1504953</v>
      </c>
      <c r="D14" s="20">
        <f>'DOE25'!L207+'DOE25'!L225+'DOE25'!L243-F14-G14</f>
        <v>1480986</v>
      </c>
      <c r="E14" s="243"/>
      <c r="F14" s="255">
        <f>'DOE25'!J207+'DOE25'!J225+'DOE25'!J243</f>
        <v>23967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744774</v>
      </c>
      <c r="D15" s="20">
        <f>'DOE25'!L208+'DOE25'!L226+'DOE25'!L244-F15-G15</f>
        <v>744774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213184</v>
      </c>
      <c r="D16" s="243"/>
      <c r="E16" s="20">
        <f>'DOE25'!L209+'DOE25'!L227+'DOE25'!L245-F16-G16</f>
        <v>209620</v>
      </c>
      <c r="F16" s="255">
        <f>'DOE25'!J209+'DOE25'!J227+'DOE25'!J245</f>
        <v>107</v>
      </c>
      <c r="G16" s="53">
        <f>'DOE25'!K209+'DOE25'!K227+'DOE25'!K245</f>
        <v>3457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2553688</v>
      </c>
      <c r="D25" s="243"/>
      <c r="E25" s="243"/>
      <c r="F25" s="258"/>
      <c r="G25" s="256"/>
      <c r="H25" s="257">
        <f>'DOE25'!L260+'DOE25'!L261+'DOE25'!L341+'DOE25'!L342</f>
        <v>2553688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441001</v>
      </c>
      <c r="D29" s="20">
        <f>'DOE25'!L358+'DOE25'!L359+'DOE25'!L360-'DOE25'!I367-F29-G29</f>
        <v>441001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492288</v>
      </c>
      <c r="D31" s="20">
        <f>'DOE25'!L290+'DOE25'!L309+'DOE25'!L328+'DOE25'!L333+'DOE25'!L334+'DOE25'!L335-F31-G31</f>
        <v>477233</v>
      </c>
      <c r="E31" s="243"/>
      <c r="F31" s="255">
        <f>'DOE25'!J290+'DOE25'!J309+'DOE25'!J328+'DOE25'!J333+'DOE25'!J334+'DOE25'!J335</f>
        <v>12180</v>
      </c>
      <c r="G31" s="53">
        <f>'DOE25'!K290+'DOE25'!K309+'DOE25'!K328+'DOE25'!K333+'DOE25'!K334+'DOE25'!K335</f>
        <v>2875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13437165</v>
      </c>
      <c r="E33" s="246">
        <f>SUM(E5:E31)</f>
        <v>745365</v>
      </c>
      <c r="F33" s="246">
        <f>SUM(F5:F31)</f>
        <v>196175</v>
      </c>
      <c r="G33" s="246">
        <f>SUM(G5:G31)</f>
        <v>199490</v>
      </c>
      <c r="H33" s="246">
        <f>SUM(H5:H31)</f>
        <v>2553688</v>
      </c>
    </row>
    <row r="35" spans="2:8" ht="12" thickBot="1" x14ac:dyDescent="0.25">
      <c r="B35" s="253" t="s">
        <v>847</v>
      </c>
      <c r="D35" s="254">
        <f>E33</f>
        <v>745365</v>
      </c>
      <c r="E35" s="249"/>
    </row>
    <row r="36" spans="2:8" ht="12" thickTop="1" x14ac:dyDescent="0.2">
      <c r="B36" t="s">
        <v>815</v>
      </c>
      <c r="D36" s="20">
        <f>D33</f>
        <v>13437165</v>
      </c>
    </row>
    <row r="38" spans="2:8" x14ac:dyDescent="0.2">
      <c r="B38" s="187" t="s">
        <v>895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Normal="100" workbookViewId="0">
      <pane ySplit="2" topLeftCell="A39" activePane="bottomLeft" state="frozen"/>
      <selection activeCell="F46" sqref="F46"/>
      <selection pane="bottomLeft" activeCell="C49" sqref="C49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Mascenic Regional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1023958.1</v>
      </c>
      <c r="D8" s="95">
        <f>'DOE25'!G9</f>
        <v>0</v>
      </c>
      <c r="E8" s="95">
        <f>'DOE25'!H9</f>
        <v>966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6018</v>
      </c>
      <c r="F9" s="95">
        <f>'DOE25'!I10</f>
        <v>0</v>
      </c>
      <c r="G9" s="95">
        <f>'DOE25'!J10</f>
        <v>230770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56268.63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11071.86</v>
      </c>
      <c r="D12" s="95">
        <f>'DOE25'!G13</f>
        <v>13973.98</v>
      </c>
      <c r="E12" s="95">
        <f>'DOE25'!H13</f>
        <v>27628.3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1040</v>
      </c>
      <c r="D13" s="95">
        <f>'DOE25'!G14</f>
        <v>17963.349999999999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8811.44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1092338.5900000001</v>
      </c>
      <c r="D18" s="41">
        <f>SUM(D8:D17)</f>
        <v>40748.769999999997</v>
      </c>
      <c r="E18" s="41">
        <f>SUM(E8:E17)</f>
        <v>34612.300000000003</v>
      </c>
      <c r="F18" s="41">
        <f>SUM(F8:F17)</f>
        <v>0</v>
      </c>
      <c r="G18" s="41">
        <f>SUM(G8:G17)</f>
        <v>230770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31937.33</v>
      </c>
      <c r="E21" s="95">
        <f>'DOE25'!H22</f>
        <v>24331.299999999988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40625.54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47402.04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5361.33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93388.91</v>
      </c>
      <c r="D31" s="41">
        <f>SUM(D21:D30)</f>
        <v>31937.33</v>
      </c>
      <c r="E31" s="41">
        <f>SUM(E21:E30)</f>
        <v>24331.299999999988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8811.44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85000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905</v>
      </c>
      <c r="B45" s="6"/>
      <c r="C45" s="95">
        <f>'DOE25'!F46</f>
        <v>113955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906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10281</v>
      </c>
      <c r="F47" s="95">
        <f>'DOE25'!I48</f>
        <v>0</v>
      </c>
      <c r="G47" s="95">
        <f>'DOE25'!J48</f>
        <v>230770</v>
      </c>
      <c r="H47" s="124"/>
      <c r="I47" s="124"/>
    </row>
    <row r="48" spans="1:9" x14ac:dyDescent="0.2">
      <c r="A48" s="1" t="s">
        <v>907</v>
      </c>
      <c r="B48" s="6">
        <v>753</v>
      </c>
      <c r="C48" s="95">
        <f>'DOE25'!F49</f>
        <v>78221.789999999994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908</v>
      </c>
      <c r="B49" s="71">
        <v>770</v>
      </c>
      <c r="C49" s="95">
        <f>'DOE25'!F50</f>
        <v>721772.89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909</v>
      </c>
      <c r="B50" s="48"/>
      <c r="C50" s="41">
        <f>SUM(C34:C49)</f>
        <v>998949.67999999993</v>
      </c>
      <c r="D50" s="41">
        <f>SUM(D34:D49)</f>
        <v>8811.44</v>
      </c>
      <c r="E50" s="41">
        <f>SUM(E34:E49)</f>
        <v>10281</v>
      </c>
      <c r="F50" s="41">
        <f>SUM(F34:F49)</f>
        <v>0</v>
      </c>
      <c r="G50" s="41">
        <f>SUM(G34:G49)</f>
        <v>230770</v>
      </c>
      <c r="H50" s="124"/>
      <c r="I50" s="124"/>
    </row>
    <row r="51" spans="1:9" ht="12" thickTop="1" x14ac:dyDescent="0.2">
      <c r="A51" s="38" t="s">
        <v>910</v>
      </c>
      <c r="B51" s="2"/>
      <c r="C51" s="41">
        <f>C50+C31</f>
        <v>1092338.5899999999</v>
      </c>
      <c r="D51" s="41">
        <f>D50+D31</f>
        <v>40748.770000000004</v>
      </c>
      <c r="E51" s="41">
        <f>E50+E31</f>
        <v>34612.299999999988</v>
      </c>
      <c r="F51" s="41">
        <f>F50+F31</f>
        <v>0</v>
      </c>
      <c r="G51" s="41">
        <f>G50+G31</f>
        <v>230770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7306100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29650.639999999999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-962.03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1877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158099.72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131052.54999999999</v>
      </c>
      <c r="D61" s="95">
        <f>SUM('DOE25'!G98:G110)</f>
        <v>44121.5</v>
      </c>
      <c r="E61" s="95">
        <f>SUM('DOE25'!H98:H110)</f>
        <v>4419.05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159741.15999999997</v>
      </c>
      <c r="D62" s="130">
        <f>SUM(D57:D61)</f>
        <v>202221.22</v>
      </c>
      <c r="E62" s="130">
        <f>SUM(E57:E61)</f>
        <v>4419.05</v>
      </c>
      <c r="F62" s="130">
        <f>SUM(F57:F61)</f>
        <v>0</v>
      </c>
      <c r="G62" s="130">
        <f>SUM(G57:G61)</f>
        <v>1877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7465841.1600000001</v>
      </c>
      <c r="D63" s="22">
        <f>D56+D62</f>
        <v>202221.22</v>
      </c>
      <c r="E63" s="22">
        <f>E56+E62</f>
        <v>4419.05</v>
      </c>
      <c r="F63" s="22">
        <f>F56+F62</f>
        <v>0</v>
      </c>
      <c r="G63" s="22">
        <f>G56+G62</f>
        <v>1877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5621214.0199999996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1118598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42000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6781812.0199999996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810885.38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139741.28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30048.38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5539.66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980675.04</v>
      </c>
      <c r="D78" s="130">
        <f>SUM(D72:D77)</f>
        <v>5539.66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7762487.0599999996</v>
      </c>
      <c r="D81" s="130">
        <f>SUM(D79:D80)+D78+D70</f>
        <v>5539.66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139668.58000000002</v>
      </c>
      <c r="D88" s="95">
        <f>SUM('DOE25'!G153:G161)</f>
        <v>230100</v>
      </c>
      <c r="E88" s="95">
        <f>SUM('DOE25'!H153:H161)</f>
        <v>487868.95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139668.58000000002</v>
      </c>
      <c r="D91" s="131">
        <f>SUM(D85:D90)</f>
        <v>230100</v>
      </c>
      <c r="E91" s="131">
        <f>SUM(E85:E90)</f>
        <v>487868.95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988030.65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21294.560000000001</v>
      </c>
      <c r="E96" s="95">
        <f>'DOE25'!H179</f>
        <v>0</v>
      </c>
      <c r="F96" s="95">
        <f>'DOE25'!I179</f>
        <v>0</v>
      </c>
      <c r="G96" s="95">
        <f>'DOE25'!J179</f>
        <v>85000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2752.07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990782.72</v>
      </c>
      <c r="D103" s="86">
        <f>SUM(D93:D102)</f>
        <v>21294.560000000001</v>
      </c>
      <c r="E103" s="86">
        <f>SUM(E93:E102)</f>
        <v>0</v>
      </c>
      <c r="F103" s="86">
        <f>SUM(F93:F102)</f>
        <v>0</v>
      </c>
      <c r="G103" s="86">
        <f>SUM(G93:G102)</f>
        <v>85000</v>
      </c>
    </row>
    <row r="104" spans="1:7" ht="12.75" thickTop="1" thickBot="1" x14ac:dyDescent="0.25">
      <c r="A104" s="33" t="s">
        <v>765</v>
      </c>
      <c r="C104" s="86">
        <f>C63+C81+C91+C103</f>
        <v>16358779.52</v>
      </c>
      <c r="D104" s="86">
        <f>D63+D81+D91+D103</f>
        <v>459155.44</v>
      </c>
      <c r="E104" s="86">
        <f>E63+E81+E91+E103</f>
        <v>492288</v>
      </c>
      <c r="F104" s="86">
        <f>F63+F81+F91+F103</f>
        <v>0</v>
      </c>
      <c r="G104" s="86">
        <f>G63+G81+G103</f>
        <v>86877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5981662</v>
      </c>
      <c r="D109" s="24" t="s">
        <v>289</v>
      </c>
      <c r="E109" s="95">
        <f>('DOE25'!L276)+('DOE25'!L295)+('DOE25'!L314)</f>
        <v>218705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1369514</v>
      </c>
      <c r="D110" s="24" t="s">
        <v>289</v>
      </c>
      <c r="E110" s="95">
        <f>('DOE25'!L277)+('DOE25'!L296)+('DOE25'!L315)</f>
        <v>129782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150854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178370</v>
      </c>
      <c r="D112" s="24" t="s">
        <v>289</v>
      </c>
      <c r="E112" s="95">
        <f>+('DOE25'!L279)+('DOE25'!L298)+('DOE25'!L317)</f>
        <v>2828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7680400</v>
      </c>
      <c r="D115" s="86">
        <f>SUM(D109:D114)</f>
        <v>0</v>
      </c>
      <c r="E115" s="86">
        <f>SUM(E109:E114)</f>
        <v>351315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1081226</v>
      </c>
      <c r="D118" s="24" t="s">
        <v>289</v>
      </c>
      <c r="E118" s="95">
        <f>+('DOE25'!L281)+('DOE25'!L300)+('DOE25'!L319)</f>
        <v>56064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320054</v>
      </c>
      <c r="D119" s="24" t="s">
        <v>289</v>
      </c>
      <c r="E119" s="95">
        <f>+('DOE25'!L282)+('DOE25'!L301)+('DOE25'!L320)</f>
        <v>41547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772987</v>
      </c>
      <c r="D120" s="24" t="s">
        <v>289</v>
      </c>
      <c r="E120" s="95">
        <f>+('DOE25'!L283)+('DOE25'!L302)+('DOE25'!L321)</f>
        <v>43060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1024475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262614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1504953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744774</v>
      </c>
      <c r="D124" s="24" t="s">
        <v>289</v>
      </c>
      <c r="E124" s="95">
        <f>+('DOE25'!L287)+('DOE25'!L306)+('DOE25'!L325)</f>
        <v>302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213184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467915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5924267</v>
      </c>
      <c r="D128" s="86">
        <f>SUM(D118:D127)</f>
        <v>467915</v>
      </c>
      <c r="E128" s="86">
        <f>SUM(E118:E127)</f>
        <v>140973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1474000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1079688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21294.560000000001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86877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-1877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2659982.56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16264649.560000001</v>
      </c>
      <c r="D145" s="86">
        <f>(D115+D128+D144)</f>
        <v>467915</v>
      </c>
      <c r="E145" s="86">
        <f>(E115+E128+E144)</f>
        <v>492288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16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 t="str">
        <f>'DOE25'!F491</f>
        <v>6/10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 t="str">
        <f>'DOE25'!F492</f>
        <v>9/26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23623315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5.39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20660000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20660000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1480000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1480000</v>
      </c>
    </row>
    <row r="159" spans="1:9" x14ac:dyDescent="0.2">
      <c r="A159" s="22" t="s">
        <v>35</v>
      </c>
      <c r="B159" s="137">
        <f>'DOE25'!F498</f>
        <v>19180000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19180000</v>
      </c>
    </row>
    <row r="160" spans="1:9" x14ac:dyDescent="0.2">
      <c r="A160" s="22" t="s">
        <v>36</v>
      </c>
      <c r="B160" s="137">
        <f>'DOE25'!F499</f>
        <v>6712097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6712097</v>
      </c>
    </row>
    <row r="161" spans="1:7" x14ac:dyDescent="0.2">
      <c r="A161" s="22" t="s">
        <v>37</v>
      </c>
      <c r="B161" s="137">
        <f>'DOE25'!F500</f>
        <v>25892097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25892097</v>
      </c>
    </row>
    <row r="162" spans="1:7" x14ac:dyDescent="0.2">
      <c r="A162" s="22" t="s">
        <v>38</v>
      </c>
      <c r="B162" s="137">
        <f>'DOE25'!F501</f>
        <v>1480000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1480000</v>
      </c>
    </row>
    <row r="163" spans="1:7" x14ac:dyDescent="0.2">
      <c r="A163" s="22" t="s">
        <v>39</v>
      </c>
      <c r="B163" s="137">
        <f>'DOE25'!F502</f>
        <v>1033802.0000000001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1033802.0000000001</v>
      </c>
    </row>
    <row r="164" spans="1:7" x14ac:dyDescent="0.2">
      <c r="A164" s="22" t="s">
        <v>246</v>
      </c>
      <c r="B164" s="137">
        <f>'DOE25'!F503</f>
        <v>2513802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2513802</v>
      </c>
    </row>
  </sheetData>
  <sheetProtection password="A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2013-2014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Mascenic Regional School District</v>
      </c>
    </row>
    <row r="3" spans="1:4" x14ac:dyDescent="0.2">
      <c r="B3" s="188" t="s">
        <v>896</v>
      </c>
    </row>
    <row r="4" spans="1:4" x14ac:dyDescent="0.2">
      <c r="B4" t="s">
        <v>61</v>
      </c>
      <c r="C4" s="179">
        <f>IF('DOE25'!F665+'DOE25'!F670=0,0,ROUND('DOE25'!F672,0))</f>
        <v>10949</v>
      </c>
    </row>
    <row r="5" spans="1:4" x14ac:dyDescent="0.2">
      <c r="B5" t="s">
        <v>704</v>
      </c>
      <c r="C5" s="179">
        <f>IF('DOE25'!G665+'DOE25'!G670=0,0,ROUND('DOE25'!G672,0))</f>
        <v>12172</v>
      </c>
    </row>
    <row r="6" spans="1:4" x14ac:dyDescent="0.2">
      <c r="B6" t="s">
        <v>62</v>
      </c>
      <c r="C6" s="179">
        <f>IF('DOE25'!H665+'DOE25'!H670=0,0,ROUND('DOE25'!H672,0))</f>
        <v>13366</v>
      </c>
    </row>
    <row r="7" spans="1:4" x14ac:dyDescent="0.2">
      <c r="B7" t="s">
        <v>705</v>
      </c>
      <c r="C7" s="179">
        <f>IF('DOE25'!I665+'DOE25'!I670=0,0,ROUND('DOE25'!I672,0))</f>
        <v>12107</v>
      </c>
    </row>
    <row r="9" spans="1:4" x14ac:dyDescent="0.2">
      <c r="A9" s="187" t="s">
        <v>94</v>
      </c>
      <c r="B9" s="188" t="s">
        <v>897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6200367</v>
      </c>
      <c r="D10" s="182">
        <f>ROUND((C10/$C$28)*100,1)</f>
        <v>40.200000000000003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1499296</v>
      </c>
      <c r="D11" s="182">
        <f>ROUND((C11/$C$28)*100,1)</f>
        <v>9.6999999999999993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150854</v>
      </c>
      <c r="D12" s="182">
        <f>ROUND((C12/$C$28)*100,1)</f>
        <v>1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181198</v>
      </c>
      <c r="D13" s="182">
        <f>ROUND((C13/$C$28)*100,1)</f>
        <v>1.2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1137290</v>
      </c>
      <c r="D15" s="182">
        <f t="shared" ref="D15:D27" si="0">ROUND((C15/$C$28)*100,1)</f>
        <v>7.4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361601</v>
      </c>
      <c r="D16" s="182">
        <f t="shared" si="0"/>
        <v>2.2999999999999998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1029231</v>
      </c>
      <c r="D17" s="182">
        <f t="shared" si="0"/>
        <v>6.7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1024475</v>
      </c>
      <c r="D18" s="182">
        <f t="shared" si="0"/>
        <v>6.6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262614</v>
      </c>
      <c r="D19" s="182">
        <f t="shared" si="0"/>
        <v>1.7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1504953</v>
      </c>
      <c r="D20" s="182">
        <f t="shared" si="0"/>
        <v>9.6999999999999993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745076</v>
      </c>
      <c r="D21" s="182">
        <f t="shared" si="0"/>
        <v>4.8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1079688</v>
      </c>
      <c r="D25" s="182">
        <f t="shared" si="0"/>
        <v>7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265693.78000000003</v>
      </c>
      <c r="D27" s="182">
        <f t="shared" si="0"/>
        <v>1.7</v>
      </c>
    </row>
    <row r="28" spans="1:4" x14ac:dyDescent="0.2">
      <c r="B28" s="187" t="s">
        <v>723</v>
      </c>
      <c r="C28" s="180">
        <f>SUM(C10:C27)</f>
        <v>15442336.779999999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15442336.779999999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1474000</v>
      </c>
    </row>
    <row r="34" spans="1:4" x14ac:dyDescent="0.2">
      <c r="A34" s="187" t="s">
        <v>94</v>
      </c>
      <c r="B34" s="188" t="s">
        <v>898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7306100</v>
      </c>
      <c r="D35" s="182">
        <f t="shared" ref="D35:D40" si="1">ROUND((C35/$C$41)*100,1)</f>
        <v>42.8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1154067.8599999994</v>
      </c>
      <c r="D36" s="182">
        <f t="shared" si="1"/>
        <v>6.8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6739812</v>
      </c>
      <c r="D37" s="182">
        <f t="shared" si="1"/>
        <v>39.4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1028215</v>
      </c>
      <c r="D38" s="182">
        <f t="shared" si="1"/>
        <v>6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857638</v>
      </c>
      <c r="D39" s="182">
        <f t="shared" si="1"/>
        <v>5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2752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17088584.859999999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C32" sqref="C32:M32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767</v>
      </c>
      <c r="B2" s="294"/>
      <c r="C2" s="294"/>
      <c r="D2" s="294"/>
      <c r="E2" s="294"/>
      <c r="F2" s="291" t="str">
        <f>'DOE25'!A2</f>
        <v>Mascenic Regional School District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>
        <v>19</v>
      </c>
      <c r="B4" s="219">
        <v>6</v>
      </c>
      <c r="C4" s="285" t="s">
        <v>914</v>
      </c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848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7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2014-09-18T03:32:04Z</cp:lastPrinted>
  <dcterms:created xsi:type="dcterms:W3CDTF">1997-12-04T19:04:30Z</dcterms:created>
  <dcterms:modified xsi:type="dcterms:W3CDTF">2014-12-05T16:35:41Z</dcterms:modified>
</cp:coreProperties>
</file>