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72" i="1" l="1"/>
  <c r="J604" i="1" l="1"/>
  <c r="H604" i="1" l="1"/>
  <c r="H521" i="1" l="1"/>
  <c r="H314" i="1" l="1"/>
  <c r="H276" i="1"/>
  <c r="H238" i="1"/>
  <c r="H202" i="1"/>
  <c r="J234" i="1"/>
  <c r="J198" i="1"/>
  <c r="J314" i="1"/>
  <c r="J276" i="1"/>
  <c r="J277" i="1"/>
  <c r="J315" i="1"/>
  <c r="J336" i="1"/>
  <c r="H336" i="1"/>
  <c r="J379" i="1"/>
  <c r="H379" i="1"/>
  <c r="H472" i="1"/>
  <c r="H468" i="1"/>
  <c r="C21" i="12"/>
  <c r="C20" i="12"/>
  <c r="C19" i="12"/>
  <c r="B20" i="12" l="1"/>
  <c r="B19" i="12"/>
  <c r="B21" i="12"/>
  <c r="C39" i="12"/>
  <c r="B39" i="12"/>
  <c r="C12" i="12"/>
  <c r="C10" i="12"/>
  <c r="B10" i="12"/>
  <c r="B12" i="12"/>
  <c r="C11" i="12"/>
  <c r="B11" i="12"/>
  <c r="G521" i="1"/>
  <c r="H526" i="1"/>
  <c r="H528" i="1"/>
  <c r="F582" i="1" l="1"/>
  <c r="H582" i="1"/>
  <c r="I521" i="1" l="1"/>
  <c r="F521" i="1"/>
  <c r="H523" i="1"/>
  <c r="I523" i="1"/>
  <c r="G523" i="1"/>
  <c r="F523" i="1"/>
  <c r="F611" i="1"/>
  <c r="I611" i="1"/>
  <c r="H611" i="1"/>
  <c r="G611" i="1"/>
  <c r="H538" i="1"/>
  <c r="H536" i="1"/>
  <c r="J528" i="1"/>
  <c r="J526" i="1"/>
  <c r="I528" i="1"/>
  <c r="I526" i="1"/>
  <c r="G528" i="1"/>
  <c r="G526" i="1"/>
  <c r="F526" i="1"/>
  <c r="F528" i="1"/>
  <c r="I533" i="1"/>
  <c r="I531" i="1"/>
  <c r="H533" i="1"/>
  <c r="H531" i="1"/>
  <c r="H543" i="1"/>
  <c r="G533" i="1"/>
  <c r="F533" i="1"/>
  <c r="G531" i="1"/>
  <c r="F531" i="1"/>
  <c r="J591" i="1"/>
  <c r="H591" i="1"/>
  <c r="H665" i="1"/>
  <c r="F665" i="1"/>
  <c r="H595" i="1"/>
  <c r="H580" i="1"/>
  <c r="H319" i="1"/>
  <c r="H320" i="1"/>
  <c r="I315" i="1"/>
  <c r="H315" i="1"/>
  <c r="G315" i="1"/>
  <c r="F315" i="1"/>
  <c r="K314" i="1"/>
  <c r="I314" i="1"/>
  <c r="G314" i="1"/>
  <c r="F314" i="1"/>
  <c r="H282" i="1"/>
  <c r="H281" i="1"/>
  <c r="H277" i="1"/>
  <c r="I277" i="1"/>
  <c r="G277" i="1"/>
  <c r="F277" i="1"/>
  <c r="K276" i="1"/>
  <c r="I276" i="1"/>
  <c r="G276" i="1"/>
  <c r="F276" i="1"/>
  <c r="I317" i="1"/>
  <c r="J468" i="1" l="1"/>
  <c r="H360" i="1"/>
  <c r="H358" i="1"/>
  <c r="J243" i="1"/>
  <c r="H243" i="1"/>
  <c r="G233" i="1"/>
  <c r="H245" i="1"/>
  <c r="I244" i="1"/>
  <c r="H244" i="1"/>
  <c r="I243" i="1"/>
  <c r="G243" i="1"/>
  <c r="F243" i="1"/>
  <c r="K240" i="1"/>
  <c r="J240" i="1"/>
  <c r="I240" i="1"/>
  <c r="H240" i="1"/>
  <c r="G240" i="1"/>
  <c r="F240" i="1"/>
  <c r="I239" i="1"/>
  <c r="H239" i="1"/>
  <c r="H236" i="1"/>
  <c r="I234" i="1"/>
  <c r="H234" i="1"/>
  <c r="G234" i="1"/>
  <c r="F234" i="1"/>
  <c r="G197" i="1"/>
  <c r="J233" i="1"/>
  <c r="I233" i="1"/>
  <c r="H233" i="1"/>
  <c r="F233" i="1"/>
  <c r="J207" i="1"/>
  <c r="H207" i="1"/>
  <c r="H209" i="1"/>
  <c r="I208" i="1"/>
  <c r="H208" i="1"/>
  <c r="H204" i="1"/>
  <c r="I207" i="1"/>
  <c r="G207" i="1"/>
  <c r="F207" i="1"/>
  <c r="F204" i="1"/>
  <c r="K204" i="1"/>
  <c r="J204" i="1"/>
  <c r="I204" i="1"/>
  <c r="G204" i="1"/>
  <c r="I203" i="1"/>
  <c r="H203" i="1"/>
  <c r="H200" i="1"/>
  <c r="I198" i="1"/>
  <c r="H198" i="1"/>
  <c r="G198" i="1"/>
  <c r="F198" i="1"/>
  <c r="F197" i="1" l="1"/>
  <c r="H197" i="1"/>
  <c r="J197" i="1"/>
  <c r="I197" i="1"/>
  <c r="I238" i="1" l="1"/>
  <c r="G238" i="1"/>
  <c r="F238" i="1"/>
  <c r="I241" i="1"/>
  <c r="H241" i="1"/>
  <c r="G241" i="1"/>
  <c r="F241" i="1"/>
  <c r="J239" i="1"/>
  <c r="G239" i="1"/>
  <c r="F239" i="1"/>
  <c r="K238" i="1"/>
  <c r="K236" i="1"/>
  <c r="J236" i="1"/>
  <c r="I236" i="1"/>
  <c r="G236" i="1"/>
  <c r="F236" i="1"/>
  <c r="H235" i="1"/>
  <c r="I205" i="1"/>
  <c r="H205" i="1"/>
  <c r="G205" i="1"/>
  <c r="F205" i="1"/>
  <c r="J203" i="1"/>
  <c r="G203" i="1"/>
  <c r="F203" i="1"/>
  <c r="I202" i="1"/>
  <c r="G202" i="1"/>
  <c r="F202" i="1"/>
  <c r="K200" i="1"/>
  <c r="J200" i="1"/>
  <c r="I200" i="1"/>
  <c r="G200" i="1"/>
  <c r="F200" i="1"/>
  <c r="K197" i="1"/>
  <c r="G97" i="1"/>
  <c r="H155" i="1"/>
  <c r="F126" i="1"/>
  <c r="F101" i="1"/>
  <c r="F98" i="1"/>
  <c r="H49" i="1"/>
  <c r="H22" i="1"/>
  <c r="G13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J545" i="1" s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C18" i="2"/>
  <c r="C26" i="10"/>
  <c r="L328" i="1"/>
  <c r="H660" i="1" s="1"/>
  <c r="H664" i="1" s="1"/>
  <c r="L351" i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C81" i="2" s="1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C138" i="2" s="1"/>
  <c r="A13" i="12"/>
  <c r="F22" i="13"/>
  <c r="H25" i="13"/>
  <c r="C25" i="13" s="1"/>
  <c r="J651" i="1"/>
  <c r="J640" i="1"/>
  <c r="J634" i="1"/>
  <c r="H571" i="1"/>
  <c r="L560" i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H33" i="13"/>
  <c r="H338" i="1" l="1"/>
  <c r="H352" i="1" s="1"/>
  <c r="G164" i="2"/>
  <c r="K503" i="1"/>
  <c r="C10" i="10"/>
  <c r="E109" i="2"/>
  <c r="E115" i="2" s="1"/>
  <c r="E33" i="13"/>
  <c r="D35" i="13" s="1"/>
  <c r="C16" i="13"/>
  <c r="J257" i="1"/>
  <c r="J271" i="1" s="1"/>
  <c r="C128" i="2"/>
  <c r="F660" i="1"/>
  <c r="F664" i="1" s="1"/>
  <c r="F672" i="1" s="1"/>
  <c r="C4" i="10" s="1"/>
  <c r="L257" i="1"/>
  <c r="L271" i="1" s="1"/>
  <c r="G632" i="1" s="1"/>
  <c r="J632" i="1" s="1"/>
  <c r="C63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D31" i="13" s="1"/>
  <c r="C31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67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C28" i="10" s="1"/>
  <c r="G635" i="1"/>
  <c r="J635" i="1" s="1"/>
  <c r="I660" i="1" l="1"/>
  <c r="I664" i="1" s="1"/>
  <c r="I672" i="1" s="1"/>
  <c r="C7" i="10" s="1"/>
  <c r="F667" i="1"/>
  <c r="H646" i="1"/>
  <c r="C145" i="2"/>
  <c r="G104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<sst xmlns="http://schemas.openxmlformats.org/spreadsheetml/2006/main" count="3979" uniqueCount="919">
  <si>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</si>
  <si>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</si>
  <si>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</si>
  <si>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</si>
  <si>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</si>
  <si>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</si>
  <si>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</si>
  <si>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</si>
  <si>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</si>
  <si>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</si>
  <si>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</si>
  <si>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</si>
  <si>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</si>
  <si>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</si>
  <si>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</si>
  <si>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</si>
  <si>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</si>
  <si>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</si>
  <si>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</si>
  <si>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</si>
  <si>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</si>
  <si>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</si>
  <si>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</si>
  <si>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</si>
  <si>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</si>
  <si>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</si>
  <si>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</si>
  <si>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</si>
  <si>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</si>
  <si>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</si>
  <si>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</si>
  <si>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</si>
  <si>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</si>
  <si>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</si>
  <si>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</si>
  <si>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</si>
  <si>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</si>
  <si>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</si>
  <si>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</si>
  <si>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</si>
  <si>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</si>
  <si>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</si>
  <si>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</si>
  <si>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</si>
  <si>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</si>
  <si>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</si>
  <si>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</si>
  <si>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</si>
  <si>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</si>
  <si>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</si>
  <si>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</si>
  <si>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</si>
  <si>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</si>
  <si>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</si>
  <si>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</si>
  <si>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</si>
  <si>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</si>
  <si>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</si>
  <si>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</si>
  <si>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</si>
  <si>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</si>
  <si>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</si>
  <si>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</si>
  <si>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</si>
  <si>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</si>
  <si>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</si>
  <si>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</si>
  <si>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</si>
  <si>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</si>
  <si>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</si>
  <si>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</si>
  <si>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</si>
  <si>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</si>
  <si>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</si>
  <si>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</si>
  <si>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</si>
  <si>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</si>
  <si>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</si>
  <si>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</si>
  <si>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</si>
  <si>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</si>
  <si>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</si>
  <si>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</si>
  <si>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</si>
  <si>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</si>
  <si>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</si>
  <si>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</si>
  <si>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</si>
  <si>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</si>
  <si>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</si>
  <si>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</si>
  <si>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</si>
  <si>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</si>
  <si>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</si>
  <si>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</si>
  <si>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</si>
  <si>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</si>
  <si>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</si>
  <si>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</si>
  <si>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</si>
  <si>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</si>
  <si>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</si>
  <si>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</si>
  <si>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</si>
  <si>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</si>
  <si>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</si>
  <si>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</si>
  <si>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</si>
  <si>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</si>
  <si>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</si>
  <si>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</si>
  <si>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</si>
  <si>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</si>
  <si>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</si>
  <si>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</si>
  <si>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</si>
  <si>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</si>
  <si>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</si>
  <si>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</si>
  <si>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</si>
  <si>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</si>
  <si>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</si>
  <si>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</si>
  <si>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</si>
  <si>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</si>
  <si>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</si>
  <si>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</si>
  <si>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</si>
  <si>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</si>
  <si>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</si>
  <si>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</si>
  <si>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</si>
  <si>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</si>
  <si>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</si>
  <si>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</si>
  <si>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</si>
  <si>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</si>
  <si>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</si>
  <si>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</si>
  <si>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</si>
  <si>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</si>
  <si>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</si>
  <si>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</si>
  <si>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</si>
  <si>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</si>
  <si>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</si>
  <si>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</si>
  <si>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</si>
  <si>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</si>
  <si>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</si>
  <si>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</si>
  <si>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</si>
  <si>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</si>
  <si>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</si>
  <si>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</si>
  <si>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</si>
  <si>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</si>
  <si>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</si>
  <si>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</si>
  <si>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</si>
  <si>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</si>
  <si>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</si>
  <si>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</si>
  <si>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</si>
  <si>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</si>
  <si>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</si>
  <si>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</si>
  <si>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</si>
  <si>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</si>
  <si>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</si>
  <si>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</si>
  <si>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</si>
  <si>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</si>
  <si>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</si>
  <si>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</si>
  <si>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</si>
  <si>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</si>
  <si>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</si>
  <si>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</si>
  <si>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</si>
  <si>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</si>
  <si>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</si>
  <si>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</si>
  <si>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</si>
  <si>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</si>
  <si>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</si>
  <si>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</si>
  <si>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</si>
  <si>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</si>
  <si>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</si>
  <si>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</si>
  <si>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</si>
  <si>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</si>
  <si>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</si>
  <si>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</si>
  <si>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</si>
  <si>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</si>
  <si>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</si>
  <si>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</si>
  <si>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</si>
  <si>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</si>
  <si>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</si>
  <si>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</si>
  <si>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</si>
  <si>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</si>
  <si>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</si>
  <si>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</si>
  <si>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</si>
  <si>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</si>
  <si>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</si>
  <si>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</si>
  <si>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</si>
  <si>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</si>
  <si>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</si>
  <si>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</si>
  <si>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</si>
  <si>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</si>
  <si>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</si>
  <si>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</si>
  <si>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</si>
  <si>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</si>
  <si>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</si>
  <si>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</si>
  <si>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</si>
  <si>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</si>
  <si>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</si>
  <si>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</si>
  <si>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</si>
  <si>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</si>
  <si>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</si>
  <si>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</si>
  <si>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</si>
  <si>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</si>
  <si>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</si>
  <si>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</si>
  <si>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</si>
  <si>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</si>
  <si>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</si>
  <si>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</si>
  <si>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</si>
  <si>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</si>
  <si>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</si>
  <si>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</si>
  <si>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</si>
  <si>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</si>
  <si>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</si>
  <si>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</si>
  <si>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</si>
  <si>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</si>
  <si>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</si>
  <si>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</si>
  <si>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</si>
  <si>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</si>
  <si>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</si>
  <si>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</si>
  <si>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</si>
  <si>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</si>
  <si>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</si>
  <si>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</si>
  <si>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</si>
  <si>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</si>
  <si>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</si>
  <si>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</si>
  <si>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</si>
  <si>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</si>
  <si>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</si>
  <si>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</si>
  <si>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</si>
  <si>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</si>
  <si>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</si>
  <si>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</si>
  <si>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</si>
  <si>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</si>
  <si>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</si>
  <si>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</si>
  <si>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</si>
  <si>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</si>
  <si>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</si>
  <si>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</si>
  <si>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</si>
  <si>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</si>
  <si>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</si>
  <si>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</si>
  <si>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</si>
  <si>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</si>
  <si>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</si>
  <si>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</si>
  <si>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</si>
  <si>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</si>
  <si>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</si>
  <si>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</si>
  <si>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</si>
  <si>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</si>
  <si>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</si>
  <si>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</si>
  <si>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</si>
  <si>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</si>
  <si>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</si>
  <si>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</si>
  <si>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</si>
  <si>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</si>
  <si>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</si>
  <si>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</si>
  <si>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</si>
  <si>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</si>
  <si>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</si>
  <si>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</si>
  <si>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</si>
  <si>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</si>
  <si>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</si>
  <si>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</si>
  <si>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</si>
  <si>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</si>
  <si>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</si>
  <si>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</si>
  <si>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</si>
  <si>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</si>
  <si>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</si>
  <si>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</si>
  <si>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</si>
  <si>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</si>
  <si>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</si>
  <si>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</si>
  <si>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</si>
  <si>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</si>
  <si>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</si>
  <si>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</si>
  <si>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</si>
  <si>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</si>
  <si>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</si>
  <si>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</si>
  <si>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</si>
  <si>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</si>
  <si>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</si>
  <si>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</si>
  <si>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</si>
  <si>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</si>
  <si>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</si>
  <si>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</si>
  <si>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</si>
  <si>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</si>
  <si>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</si>
  <si>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</si>
  <si>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</si>
  <si>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</si>
  <si>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</si>
  <si>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</si>
  <si>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</si>
  <si>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</si>
  <si>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</si>
  <si>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</si>
  <si>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</si>
  <si>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</si>
  <si>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</si>
  <si>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</si>
  <si>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</si>
  <si>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</si>
  <si>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</si>
  <si>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</si>
  <si>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</si>
  <si>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</si>
  <si>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</si>
  <si>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</si>
  <si>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</si>
  <si>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</si>
  <si>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</si>
  <si>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</si>
  <si>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</si>
  <si>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</si>
  <si>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</si>
  <si>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</si>
  <si>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</si>
  <si>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</si>
  <si>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</si>
  <si>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</si>
  <si>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</si>
  <si>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</si>
  <si>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</si>
  <si>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</si>
  <si>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</si>
  <si>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</si>
  <si>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</si>
  <si>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</si>
  <si>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</si>
  <si>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</si>
  <si>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</si>
  <si>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</si>
  <si>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</si>
  <si>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</si>
  <si>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</si>
  <si>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</si>
  <si>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</si>
  <si>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</si>
  <si>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</si>
  <si>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</si>
  <si>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</si>
  <si>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</si>
  <si>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</si>
  <si>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</si>
  <si>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</si>
  <si>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</si>
  <si>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</si>
  <si>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</si>
  <si>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</si>
  <si>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</si>
  <si>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</si>
  <si>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</si>
  <si>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</si>
  <si>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</si>
  <si>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</si>
  <si>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</si>
  <si>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</si>
  <si>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</si>
  <si>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</si>
  <si>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</si>
  <si>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</si>
  <si>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</si>
  <si>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</si>
  <si>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</si>
  <si>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</si>
  <si>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</si>
  <si>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</si>
  <si>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</si>
  <si>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</si>
  <si>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</si>
  <si>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</si>
  <si>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</si>
  <si>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</si>
  <si>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</si>
  <si>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</si>
  <si>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</si>
  <si>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</si>
  <si>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</si>
  <si>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</si>
  <si>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</si>
  <si>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</si>
  <si>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</si>
  <si>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</si>
  <si>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</si>
  <si>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</si>
  <si>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</si>
  <si>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</si>
  <si>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</si>
  <si>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</si>
  <si>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</si>
  <si>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</si>
  <si>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</si>
  <si>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</si>
  <si>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</si>
  <si>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</si>
  <si>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</si>
  <si>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</si>
  <si>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</si>
  <si>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</si>
  <si>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</si>
  <si>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</si>
  <si>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</si>
  <si>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</si>
  <si>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</si>
  <si>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</si>
  <si>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</si>
  <si>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</si>
  <si>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</si>
  <si>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</si>
  <si>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</si>
  <si>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</si>
  <si>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</si>
  <si>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</si>
  <si>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</si>
  <si>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</si>
  <si>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</si>
  <si>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</si>
  <si>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</si>
  <si>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</si>
  <si>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</si>
  <si>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</si>
  <si>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</si>
  <si>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</si>
  <si>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</si>
  <si>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</si>
  <si>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</si>
  <si>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</si>
  <si>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</si>
  <si>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</si>
  <si>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</si>
  <si>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</si>
  <si>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</si>
  <si>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</si>
  <si>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</si>
  <si>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</si>
  <si>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</si>
  <si>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</si>
  <si>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</si>
  <si>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</si>
  <si>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</si>
  <si>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</si>
  <si>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</si>
  <si>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</si>
  <si>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</si>
  <si>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</si>
  <si>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</si>
  <si>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</si>
  <si>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</si>
  <si>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</si>
  <si>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</si>
  <si>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</si>
  <si>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</si>
  <si>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</si>
  <si>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</si>
  <si>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</si>
  <si>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</si>
  <si>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</si>
  <si>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</si>
  <si>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</si>
  <si>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</si>
  <si>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</si>
  <si>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</si>
  <si>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</si>
  <si>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</si>
  <si>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</si>
  <si>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</si>
  <si>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</si>
  <si>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</si>
  <si>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</si>
  <si>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</si>
  <si>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</si>
  <si>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</si>
  <si>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</si>
  <si>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</si>
  <si>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</si>
  <si>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</si>
  <si>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</si>
  <si>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</si>
  <si>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</si>
  <si>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</si>
  <si>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</si>
  <si>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</si>
  <si>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</si>
  <si>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</si>
  <si>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</si>
  <si>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</si>
  <si>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</si>
  <si>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</si>
  <si>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</si>
  <si>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</si>
  <si>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</si>
  <si>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</si>
  <si>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</si>
  <si>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</si>
  <si>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</si>
  <si>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</si>
  <si>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</si>
  <si>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</si>
  <si>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</si>
  <si>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</si>
  <si>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</si>
  <si>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</si>
  <si>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</si>
  <si>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</si>
  <si>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</si>
  <si>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</si>
  <si>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</si>
  <si>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</si>
  <si>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</si>
  <si>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</si>
  <si>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</si>
  <si>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</si>
  <si>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</si>
  <si>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</si>
  <si>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</si>
  <si>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</si>
  <si>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</si>
  <si>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</si>
  <si>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</si>
  <si>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</si>
  <si>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</si>
  <si>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</si>
  <si>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</si>
  <si>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</si>
  <si>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</si>
  <si>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</si>
  <si>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</si>
  <si>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</si>
  <si>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</si>
  <si>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</si>
  <si>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</si>
  <si>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</si>
  <si>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</si>
  <si>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</si>
  <si>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</si>
  <si>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</si>
  <si>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</si>
  <si>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</si>
  <si>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</si>
  <si>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</si>
  <si>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</si>
  <si>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</si>
  <si>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</si>
  <si>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</si>
  <si>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</si>
  <si>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</si>
  <si>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</si>
  <si>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</si>
  <si>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</si>
  <si>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</si>
  <si>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</si>
  <si>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</si>
  <si>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</si>
  <si>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</si>
  <si>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</si>
  <si>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</si>
  <si>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</si>
  <si>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</si>
  <si>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</si>
  <si>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</si>
  <si>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</si>
  <si>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</si>
  <si>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</si>
  <si>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</si>
  <si>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</si>
  <si>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</si>
  <si>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</si>
  <si>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</si>
  <si>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</si>
  <si>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</si>
  <si>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</si>
  <si>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</si>
  <si>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</si>
  <si>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</si>
  <si>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</si>
  <si>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</si>
  <si>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</si>
  <si>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</si>
  <si>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</si>
  <si>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</si>
  <si>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</si>
  <si>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</si>
  <si>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</si>
  <si>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</si>
  <si>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</si>
  <si>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</si>
  <si>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</si>
  <si>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</si>
  <si>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</si>
  <si>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</si>
  <si>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</si>
  <si>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</si>
  <si>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</si>
  <si>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</si>
  <si>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</si>
  <si>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</si>
  <si>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</si>
  <si>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</si>
  <si>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</si>
  <si>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</si>
  <si>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</si>
  <si>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</si>
  <si>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</si>
  <si>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</si>
  <si>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</si>
  <si>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</si>
  <si>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</si>
  <si>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</si>
  <si>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</si>
  <si>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</si>
  <si>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</si>
  <si>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</si>
  <si>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</si>
  <si>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</si>
  <si>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</si>
  <si>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</si>
  <si>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</si>
  <si>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</si>
  <si>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</si>
  <si>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</si>
  <si>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</si>
  <si>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</si>
  <si>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</si>
  <si>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</si>
  <si>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</si>
  <si>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</si>
  <si>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</si>
  <si>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</si>
  <si>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</si>
  <si>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</si>
  <si>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</si>
  <si>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</si>
  <si>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</si>
  <si>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</si>
  <si>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</si>
  <si>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</si>
  <si>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</si>
  <si>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</si>
  <si>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</si>
  <si>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</si>
  <si>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</si>
  <si>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</si>
  <si>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</si>
  <si>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</si>
  <si>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</si>
  <si>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</si>
  <si>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</si>
  <si>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</si>
  <si>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</si>
  <si>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</si>
  <si>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</si>
  <si>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</si>
  <si>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</si>
  <si>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</si>
  <si>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</si>
  <si>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</si>
  <si>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</si>
  <si>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</si>
  <si>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</si>
  <si>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</si>
  <si>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</si>
  <si>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</si>
  <si>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</si>
  <si>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</si>
  <si>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</si>
  <si>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</si>
  <si>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</si>
  <si>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</si>
  <si>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</si>
  <si>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</si>
  <si>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</si>
  <si>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</si>
  <si>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</si>
  <si>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</si>
  <si>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</si>
  <si>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</si>
  <si>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</si>
  <si>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</si>
  <si>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</si>
  <si>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</si>
  <si>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</si>
  <si>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</si>
  <si>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</si>
  <si>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</si>
  <si>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</si>
  <si>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</si>
  <si>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</si>
  <si>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</si>
  <si>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</si>
  <si>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</si>
  <si>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</si>
  <si>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</si>
  <si>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</si>
  <si>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</si>
  <si>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</si>
  <si>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</si>
  <si>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</si>
  <si>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</si>
  <si>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</si>
  <si>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</si>
  <si>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</si>
  <si>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</si>
  <si>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</si>
  <si>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</si>
  <si>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</si>
  <si>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</si>
  <si>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</si>
  <si>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</si>
  <si>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</si>
  <si>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</si>
  <si>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</si>
  <si>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</si>
  <si>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</si>
  <si>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</si>
  <si>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</si>
  <si>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</si>
  <si>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</si>
  <si>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</si>
  <si>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</si>
  <si>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</si>
  <si>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</si>
  <si>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</si>
  <si>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</si>
  <si>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</si>
  <si>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</si>
  <si>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</si>
  <si>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</si>
  <si>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</si>
  <si>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</si>
  <si>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</si>
  <si>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</si>
  <si>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</si>
  <si>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</si>
  <si>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</si>
  <si>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</si>
  <si>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</si>
  <si>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</si>
  <si>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</si>
  <si>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</si>
  <si>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</si>
  <si>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</si>
  <si>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</si>
  <si>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</si>
  <si>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</si>
  <si>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</si>
  <si>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</si>
  <si>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</si>
  <si>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</si>
  <si>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</si>
  <si>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</si>
  <si>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</si>
  <si>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</si>
  <si>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</si>
  <si>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</si>
  <si>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</si>
  <si>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</si>
  <si>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</si>
  <si>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</si>
  <si>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</si>
  <si>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</si>
  <si>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</si>
  <si>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</si>
  <si>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</si>
  <si>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</si>
  <si>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</si>
  <si>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</si>
  <si>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</si>
  <si>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</si>
  <si>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</si>
  <si>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</si>
  <si>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</si>
  <si>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</si>
  <si>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</si>
  <si>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</si>
  <si>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</si>
  <si>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</si>
  <si>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</si>
  <si>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</si>
  <si>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</si>
  <si>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</si>
  <si>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</si>
  <si>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</si>
  <si>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</si>
  <si>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</si>
  <si>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</si>
  <si>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</si>
  <si>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</si>
  <si>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</si>
  <si>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</si>
  <si>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</si>
  <si>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</si>
  <si>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</si>
  <si>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</si>
  <si>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</si>
  <si>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</si>
  <si>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</si>
  <si>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</si>
  <si>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</si>
  <si>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</si>
  <si>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</si>
  <si>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</si>
  <si>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</si>
  <si>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</si>
  <si>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</si>
  <si>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</si>
  <si>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</si>
  <si>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</si>
  <si>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</si>
  <si>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</si>
  <si>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</si>
  <si>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</si>
  <si>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</si>
  <si>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</si>
  <si>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</si>
  <si>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</si>
  <si>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</si>
  <si>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</si>
  <si>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</si>
  <si>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</si>
  <si>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</si>
  <si>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</si>
  <si>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</si>
  <si>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</si>
  <si>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</si>
  <si>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</si>
  <si>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</si>
  <si>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</si>
  <si>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</si>
  <si>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</si>
  <si>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</si>
  <si>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</si>
  <si>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</si>
  <si>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</si>
  <si>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</si>
  <si>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</si>
  <si>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</si>
  <si>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</si>
  <si>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</si>
  <si>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</si>
  <si>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</si>
  <si>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</si>
  <si>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</si>
  <si>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</si>
  <si>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</si>
  <si>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</si>
  <si>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</si>
  <si>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</si>
  <si>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</si>
  <si>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</si>
  <si>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</si>
  <si>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</si>
  <si>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</si>
  <si>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</si>
  <si>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</si>
  <si>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</si>
  <si>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</si>
  <si>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5/2013</t>
  </si>
  <si>
    <t>11/2028</t>
  </si>
  <si>
    <t>6/12/14</t>
  </si>
  <si>
    <t>12/12/39</t>
  </si>
  <si>
    <t>7,9,11 &amp; 13</t>
  </si>
  <si>
    <t xml:space="preserve">Health Insurance Premium Holiday of $173,769.53 was applied to object 211 using the effective rates for employee </t>
  </si>
  <si>
    <t>and employer premiums.</t>
  </si>
  <si>
    <t>Mascoma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</si>
</sst>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5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918</v>
      </c>
      <c r="B2" s="21">
        <v>343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786212.62+100+100+75+100+100</f>
        <v>786687.62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-26775.43</v>
      </c>
      <c r="G12" s="18"/>
      <c r="H12" s="18"/>
      <c r="I12" s="18"/>
      <c r="J12" s="67">
        <f>SUM(I441)</f>
        <v>672435.49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 t="s">
        <v>287</v>
      </c>
      <c r="G13" s="4">
        <f>38816.84</f>
        <v>38816.839999999997</v>
      </c>
      <c r="H13" s="18">
        <v>112132.66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53.08</v>
      </c>
      <c r="G14" s="18">
        <v>9774.17</v>
      </c>
      <c r="H14" s="18">
        <v>1400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759965.2699999999</v>
      </c>
      <c r="G19" s="41">
        <f>SUM(G9:G18)</f>
        <v>48591.009999999995</v>
      </c>
      <c r="H19" s="41">
        <f>SUM(H9:H18)</f>
        <v>113532.66</v>
      </c>
      <c r="I19" s="41">
        <f>SUM(I9:I18)</f>
        <v>0</v>
      </c>
      <c r="J19" s="41">
        <f>SUM(J9:J18)</f>
        <v>672435.49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4">
        <v>41013.68</v>
      </c>
      <c r="H22" s="18">
        <f>112132.66-53.8-25887.86-153979.52</f>
        <v>-67788.51999999999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29118.74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12499.49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7565.84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41618.230000000003</v>
      </c>
      <c r="G32" s="41">
        <f>SUM(G22:G31)</f>
        <v>48579.520000000004</v>
      </c>
      <c r="H32" s="41">
        <f>SUM(H22:H31)</f>
        <v>-67788.51999999999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 t="s">
        <v>287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50000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327998.09999999998</v>
      </c>
      <c r="G48" s="18" t="s">
        <v>287</v>
      </c>
      <c r="H48" s="18"/>
      <c r="I48" s="18"/>
      <c r="J48" s="13">
        <f>SUM(I459)</f>
        <v>672435.49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>
        <v>11.49</v>
      </c>
      <c r="H49" s="18">
        <f>1453.8+25887.86+153979.52</f>
        <v>181321.18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340348.94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718347.04</v>
      </c>
      <c r="G51" s="41">
        <f>SUM(G35:G50)</f>
        <v>11.49</v>
      </c>
      <c r="H51" s="41">
        <f>SUM(H35:H50)</f>
        <v>181321.18</v>
      </c>
      <c r="I51" s="41">
        <f>SUM(I35:I50)</f>
        <v>0</v>
      </c>
      <c r="J51" s="41">
        <f>SUM(J35:J50)</f>
        <v>672435.49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759965.27</v>
      </c>
      <c r="G52" s="41">
        <f>G51+G32</f>
        <v>48591.01</v>
      </c>
      <c r="H52" s="41">
        <f>H51+H32</f>
        <v>113532.66</v>
      </c>
      <c r="I52" s="41">
        <f>I51+I32</f>
        <v>0</v>
      </c>
      <c r="J52" s="41">
        <f>J51+J32</f>
        <v>672435.49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13061147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13061147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>
        <v>65435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>
        <v>56610.5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122045.5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1280.97</v>
      </c>
      <c r="G96" s="18"/>
      <c r="H96" s="18"/>
      <c r="I96" s="18"/>
      <c r="J96" s="18">
        <v>169.81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160951+31192+12434+6873</f>
        <v>211450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f>2001</f>
        <v>2001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f>31228.37</f>
        <v>31228.37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139079.37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34510.339999999997</v>
      </c>
      <c r="G111" s="41">
        <f>SUM(G96:G110)</f>
        <v>211450</v>
      </c>
      <c r="H111" s="41">
        <f>SUM(H96:H110)</f>
        <v>139079.37</v>
      </c>
      <c r="I111" s="41">
        <f>SUM(I96:I110)</f>
        <v>0</v>
      </c>
      <c r="J111" s="41">
        <f>SUM(J96:J110)</f>
        <v>169.81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13095657.34</v>
      </c>
      <c r="G112" s="41">
        <f>G60+G111</f>
        <v>211450</v>
      </c>
      <c r="H112" s="41">
        <f>H60+H79+H94+H111</f>
        <v>261124.87</v>
      </c>
      <c r="I112" s="41">
        <f>I60+I111</f>
        <v>0</v>
      </c>
      <c r="J112" s="41">
        <f>J60+J111</f>
        <v>169.81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4026475.29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2651630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6678105.29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f>63355.99</f>
        <v>63355.99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131430.17000000001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16161.4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5597.65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210947.56</v>
      </c>
      <c r="G136" s="41">
        <f>SUM(G123:G135)</f>
        <v>5597.65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6889052.8499999996</v>
      </c>
      <c r="G140" s="41">
        <f>G121+SUM(G136:G137)</f>
        <v>5597.65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160436.03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112503.74+28974</f>
        <v>141477.74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194348.09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288089.95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100025.26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100025.26</v>
      </c>
      <c r="G162" s="41">
        <f>SUM(G150:G161)</f>
        <v>194348.09</v>
      </c>
      <c r="H162" s="41">
        <f>SUM(H150:H161)</f>
        <v>590003.72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3088.68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103113.93999999999</v>
      </c>
      <c r="G169" s="41">
        <f>G147+G162+SUM(G163:G168)</f>
        <v>194348.09</v>
      </c>
      <c r="H169" s="41">
        <f>H147+H162+SUM(H163:H168)</f>
        <v>590003.72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25000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 t="s">
        <v>287</v>
      </c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>
        <v>1461788</v>
      </c>
      <c r="I190" s="18">
        <v>1461788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1461788</v>
      </c>
      <c r="I192" s="41">
        <f>I177+I183+SUM(I188:I191)</f>
        <v>1461788</v>
      </c>
      <c r="J192" s="41">
        <f>J183</f>
        <v>25000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20087824.129999999</v>
      </c>
      <c r="G193" s="47">
        <f>G112+G140+G169+G192</f>
        <v>411395.74</v>
      </c>
      <c r="H193" s="47">
        <f>H112+H140+H169+H192</f>
        <v>2312916.59</v>
      </c>
      <c r="I193" s="47">
        <f>I112+I140+I169+I192</f>
        <v>1461788</v>
      </c>
      <c r="J193" s="47">
        <f>J112+J140+J192</f>
        <v>25169.81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3421489.35+57.96+259107.55+158377.5+14768.94</f>
        <v>3853801.3</v>
      </c>
      <c r="G197" s="18">
        <f>787812.9+49147.94+270199.83+3794.82+484410.94+75135.05+9735.5+39965.63</f>
        <v>1720202.61</v>
      </c>
      <c r="H197" s="18">
        <f>8394.14+5903.72+21962.13</f>
        <v>36259.990000000005</v>
      </c>
      <c r="I197" s="18">
        <f>65429.67+10320.96+49184.71+22255.32+340.36</f>
        <v>147531.01999999999</v>
      </c>
      <c r="J197" s="18">
        <f>1397.24+937.05+3585.74+29413.45+48439.39</f>
        <v>83772.87</v>
      </c>
      <c r="K197" s="18">
        <f>4040.5</f>
        <v>4040.5</v>
      </c>
      <c r="L197" s="19">
        <f>SUM(F197:K197)</f>
        <v>5845608.29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520941.47+794919.06+363174.89+16862.28</f>
        <v>1695897.7</v>
      </c>
      <c r="G198" s="18">
        <f>325704.16+26915.72+97442.95+35330.12+72394.54+142331.12+2528.79</f>
        <v>702647.4</v>
      </c>
      <c r="H198" s="18">
        <f>280602.83+41323.77</f>
        <v>321926.60000000003</v>
      </c>
      <c r="I198" s="18">
        <f>728.05+1545.55+517.03+6752.37+70.68</f>
        <v>9613.68</v>
      </c>
      <c r="J198" s="18">
        <f>2895.59+815.58</f>
        <v>3711.17</v>
      </c>
      <c r="K198" s="18"/>
      <c r="L198" s="19">
        <f>SUM(F198:K198)</f>
        <v>2733796.5500000003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20094</f>
        <v>20094</v>
      </c>
      <c r="G200" s="18">
        <f>1513.13+1483.14</f>
        <v>2996.2700000000004</v>
      </c>
      <c r="H200" s="18">
        <f>2485+20810.89</f>
        <v>23295.89</v>
      </c>
      <c r="I200" s="18">
        <f>87.35</f>
        <v>87.35</v>
      </c>
      <c r="J200" s="18">
        <f>1064.47</f>
        <v>1064.47</v>
      </c>
      <c r="K200" s="18">
        <f>625</f>
        <v>625</v>
      </c>
      <c r="L200" s="19">
        <f>SUM(F200:K200)</f>
        <v>48162.98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231486+159910</f>
        <v>391396</v>
      </c>
      <c r="G202" s="18">
        <f>61986.76+5964.64+16806.12+32778.74+38535.86+4293.96+11671.43+22643.15</f>
        <v>194680.65999999997</v>
      </c>
      <c r="H202" s="18">
        <f>107.4+105865.84+139661.35+2570.12+3315.48+23200.41</f>
        <v>274720.59999999998</v>
      </c>
      <c r="I202" s="18">
        <f>231.84+3175.62</f>
        <v>3407.46</v>
      </c>
      <c r="J202" s="18"/>
      <c r="K202" s="18"/>
      <c r="L202" s="19">
        <f t="shared" ref="L202:L208" si="0">SUM(F202:K202)</f>
        <v>864204.71999999986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155435+23774.31</f>
        <v>179209.31</v>
      </c>
      <c r="G203" s="18">
        <f>49725.5+3614.16+13055.22+2560.51+22009.51</f>
        <v>90964.9</v>
      </c>
      <c r="H203" s="18">
        <f>4140+23149.69+3115.88+14184.34</f>
        <v>44589.91</v>
      </c>
      <c r="I203" s="18">
        <f>1663.6+21805.6+15270.08</f>
        <v>38739.279999999999</v>
      </c>
      <c r="J203" s="18">
        <f>2063.99+1116.5</f>
        <v>3180.49</v>
      </c>
      <c r="K203" s="18"/>
      <c r="L203" s="19">
        <f t="shared" si="0"/>
        <v>356683.89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3588+1847.48+1380+3277.5+338477.03</f>
        <v>348570.01</v>
      </c>
      <c r="G204" s="18">
        <f>274.52+141.35+105.57+250.74+152384.29</f>
        <v>153156.47</v>
      </c>
      <c r="H204" s="18">
        <f>13365.28+4892.78+16422+10242.11+165594.93+0.01</f>
        <v>210517.11</v>
      </c>
      <c r="I204" s="18">
        <f>4049.99+83730.29</f>
        <v>87780.28</v>
      </c>
      <c r="J204" s="18">
        <f>372.59</f>
        <v>372.59</v>
      </c>
      <c r="K204" s="18">
        <f>4132.58+1108.17</f>
        <v>5240.75</v>
      </c>
      <c r="L204" s="19">
        <f t="shared" si="0"/>
        <v>805637.21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255698+170417.64+67000</f>
        <v>493115.64</v>
      </c>
      <c r="G205" s="18">
        <f>130251.22+10390.4+36773.4+18379.08+45694.22+10471.46</f>
        <v>251959.77999999997</v>
      </c>
      <c r="H205" s="18">
        <f>25493.33+3810.88+1559.21+321.52</f>
        <v>31184.940000000002</v>
      </c>
      <c r="I205" s="18">
        <f>1200.57</f>
        <v>1200.57</v>
      </c>
      <c r="J205" s="18"/>
      <c r="K205" s="18"/>
      <c r="L205" s="19">
        <f t="shared" si="0"/>
        <v>777460.92999999982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257075.67+60076.93</f>
        <v>317152.60000000003</v>
      </c>
      <c r="G207" s="18">
        <f>69662.12+3848.68+19202.52+21237.07+20939.71</f>
        <v>134890.09999999998</v>
      </c>
      <c r="H207" s="18">
        <f>12039.04+227128.32+113138.16+75789.2+39929.24+1632.01+33822+37280.75+0.01+3270.6</f>
        <v>544029.32999999996</v>
      </c>
      <c r="I207" s="18">
        <f>40256.16+80474.36+3022.12+90825.51+3950+1685.46+12901.81</f>
        <v>233115.41999999998</v>
      </c>
      <c r="J207" s="18">
        <f>724+4702.32+10485.75+17902.53+9094.66</f>
        <v>42909.259999999995</v>
      </c>
      <c r="K207" s="18"/>
      <c r="L207" s="19">
        <f t="shared" si="0"/>
        <v>1272096.71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4995.27+16253.75+402483.9+188154.87</f>
        <v>611887.79</v>
      </c>
      <c r="I208" s="18">
        <f>881.92</f>
        <v>881.92</v>
      </c>
      <c r="J208" s="18"/>
      <c r="K208" s="18"/>
      <c r="L208" s="19">
        <f t="shared" si="0"/>
        <v>612769.71000000008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f>5173.85</f>
        <v>5173.8500000000004</v>
      </c>
      <c r="I209" s="18"/>
      <c r="J209" s="18"/>
      <c r="K209" s="18"/>
      <c r="L209" s="19">
        <f>SUM(F209:K209)</f>
        <v>5173.8500000000004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7299236.5599999987</v>
      </c>
      <c r="G211" s="41">
        <f t="shared" si="1"/>
        <v>3251498.1900000004</v>
      </c>
      <c r="H211" s="41">
        <f t="shared" si="1"/>
        <v>2103586.0100000002</v>
      </c>
      <c r="I211" s="41">
        <f t="shared" si="1"/>
        <v>522356.97999999992</v>
      </c>
      <c r="J211" s="41">
        <f t="shared" si="1"/>
        <v>135010.84999999998</v>
      </c>
      <c r="K211" s="41">
        <f t="shared" si="1"/>
        <v>9906.25</v>
      </c>
      <c r="L211" s="41">
        <f t="shared" si="1"/>
        <v>13321594.840000002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1602460.82+2212.76+93676.4+750.53+71155.11+6635.31</f>
        <v>1776890.9300000002</v>
      </c>
      <c r="G233" s="18">
        <f>423120.87+27757.45+124196.83+10411.36+223903.13+33756.32+4373.92+17955.57</f>
        <v>865475.45</v>
      </c>
      <c r="H233" s="18">
        <f>1071.09+5514.8+10089.02+9867.05</f>
        <v>26541.96</v>
      </c>
      <c r="I233" s="18">
        <f>50351.77+5194.82+74408.72+10641.3+152.92</f>
        <v>140749.53</v>
      </c>
      <c r="J233" s="18">
        <f>7910.37+9783.25+18325.75+21762.63</f>
        <v>57782</v>
      </c>
      <c r="K233" s="18">
        <v>4865</v>
      </c>
      <c r="L233" s="19">
        <f>SUM(F233:K233)</f>
        <v>2872304.8699999996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134402+200799.06+163165.53+7575.8</f>
        <v>505942.38999999996</v>
      </c>
      <c r="G234" s="18">
        <f>147328.05+11341.91+24046.57+18469.32+19031.33+63945.87+1136.12</f>
        <v>285299.17</v>
      </c>
      <c r="H234" s="18">
        <f>244+1165.5+236866+286159.48+126067.94+18565.75</f>
        <v>669068.66999999993</v>
      </c>
      <c r="I234" s="18">
        <f>171.48+1545.57+3033.68+31.76</f>
        <v>4782.49</v>
      </c>
      <c r="J234" s="18">
        <f>1300.92+366.42</f>
        <v>1667.3400000000001</v>
      </c>
      <c r="K234" s="18"/>
      <c r="L234" s="19">
        <f>SUM(F234:K234)</f>
        <v>1466760.06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f>388408.73</f>
        <v>388408.73</v>
      </c>
      <c r="I235" s="18"/>
      <c r="J235" s="18"/>
      <c r="K235" s="18"/>
      <c r="L235" s="19">
        <f>SUM(F235:K235)</f>
        <v>388408.73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67069.5</f>
        <v>67069.5</v>
      </c>
      <c r="G236" s="18">
        <f>5095.42+175.44+2570.72</f>
        <v>7841.58</v>
      </c>
      <c r="H236" s="18">
        <f>18735+19695.25+9349.82</f>
        <v>47780.07</v>
      </c>
      <c r="I236" s="18">
        <f>13030.61</f>
        <v>13030.61</v>
      </c>
      <c r="J236" s="18">
        <f>13934.92</f>
        <v>13934.92</v>
      </c>
      <c r="K236" s="18">
        <f>5295</f>
        <v>5295</v>
      </c>
      <c r="L236" s="19">
        <f>SUM(F236:K236)</f>
        <v>154951.68000000002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155001+58165</f>
        <v>213166</v>
      </c>
      <c r="G238" s="18">
        <f>20603.44+3118.72+11561.89+21948.15+19227.56+1670.68+4169.36+8236.24</f>
        <v>90536.040000000008</v>
      </c>
      <c r="H238" s="18">
        <f>9754.83+1611.12+290.16+89.82+47562.91+62746.4+1154.69+1489.57+10423.38</f>
        <v>135122.88</v>
      </c>
      <c r="I238" s="18">
        <f>1153.06</f>
        <v>1153.06</v>
      </c>
      <c r="J238" s="18"/>
      <c r="K238" s="18">
        <f>120</f>
        <v>120</v>
      </c>
      <c r="L238" s="19">
        <f t="shared" ref="L238:L244" si="4">SUM(F238:K238)</f>
        <v>440097.98000000004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59545+14596.15</f>
        <v>74141.149999999994</v>
      </c>
      <c r="G239" s="18">
        <f>14243.02+952.6+5464.44+8431.55</f>
        <v>29091.61</v>
      </c>
      <c r="H239" s="18">
        <f>1860+10400.58+1399.89+6372.68</f>
        <v>20033.150000000001</v>
      </c>
      <c r="I239" s="18">
        <f>1494.21+13308.23+6860.47</f>
        <v>21662.91</v>
      </c>
      <c r="J239" s="18">
        <f>1598.58+2020.1+2845</f>
        <v>6463.68</v>
      </c>
      <c r="K239" s="18"/>
      <c r="L239" s="19">
        <f t="shared" si="4"/>
        <v>151392.5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1612+830.03+620+1472.5+152069.39</f>
        <v>156603.92000000001</v>
      </c>
      <c r="G240" s="18">
        <f>123.34+63.51+47.43+112.65+68462.5</f>
        <v>68809.429999999993</v>
      </c>
      <c r="H240" s="18">
        <f>6004.69+14177.74+74397.72</f>
        <v>94580.15</v>
      </c>
      <c r="I240" s="18">
        <f>1819.56+37617.96</f>
        <v>39437.519999999997</v>
      </c>
      <c r="J240" s="18">
        <f>167.4</f>
        <v>167.4</v>
      </c>
      <c r="K240" s="18">
        <f>1856.67+497.88</f>
        <v>2354.5500000000002</v>
      </c>
      <c r="L240" s="19">
        <f t="shared" si="4"/>
        <v>361952.97000000003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59519+89373+103233.84+70452</f>
        <v>322577.83999999997</v>
      </c>
      <c r="G241" s="18">
        <f>87444.5+6694.6+24195.15+17541+22631.2+6000</f>
        <v>164506.45000000001</v>
      </c>
      <c r="H241" s="18">
        <f>9881.19+3013.58+3444.24+628.58</f>
        <v>16967.59</v>
      </c>
      <c r="I241" s="18">
        <f>6759.94</f>
        <v>6759.94</v>
      </c>
      <c r="J241" s="18"/>
      <c r="K241" s="18"/>
      <c r="L241" s="19">
        <f t="shared" si="4"/>
        <v>510811.82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134885.2+26991.09</f>
        <v>161876.29</v>
      </c>
      <c r="G243" s="18">
        <f>32739.08+2623.28+10100.93+10970.77+9407.7</f>
        <v>65841.759999999995</v>
      </c>
      <c r="H243" s="18">
        <f>1017+41898.88+40972.7+6585.55+21161.1+667.09+33822+16749.32+1469.4</f>
        <v>164343.03999999998</v>
      </c>
      <c r="I243" s="18">
        <f>14153.12+37520.62+4653.06+44112.48+8175.38+792.03+5796.47</f>
        <v>115203.16</v>
      </c>
      <c r="J243" s="18">
        <f>229+3956+8502.91+29639.51+4086.01</f>
        <v>46413.43</v>
      </c>
      <c r="K243" s="18"/>
      <c r="L243" s="19">
        <f t="shared" si="4"/>
        <v>553677.68000000005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75681.1+28695.24+4534.92+180826.1+84533.35</f>
        <v>374270.70999999996</v>
      </c>
      <c r="I244" s="18">
        <f>396.23</f>
        <v>396.23</v>
      </c>
      <c r="J244" s="18"/>
      <c r="K244" s="18"/>
      <c r="L244" s="19">
        <f t="shared" si="4"/>
        <v>374666.93999999994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f>2324.48</f>
        <v>2324.48</v>
      </c>
      <c r="I245" s="18"/>
      <c r="J245" s="18"/>
      <c r="K245" s="18"/>
      <c r="L245" s="19">
        <f>SUM(F245:K245)</f>
        <v>2324.48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3278268.02</v>
      </c>
      <c r="G247" s="41">
        <f t="shared" si="5"/>
        <v>1577401.49</v>
      </c>
      <c r="H247" s="41">
        <f t="shared" si="5"/>
        <v>1939441.43</v>
      </c>
      <c r="I247" s="41">
        <f t="shared" si="5"/>
        <v>343175.44999999995</v>
      </c>
      <c r="J247" s="41">
        <f t="shared" si="5"/>
        <v>126428.76999999999</v>
      </c>
      <c r="K247" s="41">
        <f t="shared" si="5"/>
        <v>12634.55</v>
      </c>
      <c r="L247" s="41">
        <f t="shared" si="5"/>
        <v>7277349.7100000009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10577504.579999998</v>
      </c>
      <c r="G257" s="41">
        <f t="shared" si="8"/>
        <v>4828899.6800000006</v>
      </c>
      <c r="H257" s="41">
        <f t="shared" si="8"/>
        <v>4043027.4400000004</v>
      </c>
      <c r="I257" s="41">
        <f t="shared" si="8"/>
        <v>865532.42999999993</v>
      </c>
      <c r="J257" s="41">
        <f t="shared" si="8"/>
        <v>261439.61999999997</v>
      </c>
      <c r="K257" s="41">
        <f t="shared" si="8"/>
        <v>22540.799999999999</v>
      </c>
      <c r="L257" s="41">
        <f t="shared" si="8"/>
        <v>20598944.550000004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23679.27</v>
      </c>
      <c r="L260" s="19">
        <f>SUM(F260:K260)</f>
        <v>23679.27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25570.23</v>
      </c>
      <c r="L261" s="19">
        <f>SUM(F261:K261)</f>
        <v>25570.23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25000</v>
      </c>
      <c r="L266" s="19">
        <f t="shared" si="9"/>
        <v>25000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74249.5</v>
      </c>
      <c r="L270" s="41">
        <f t="shared" si="9"/>
        <v>74249.5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10577504.579999998</v>
      </c>
      <c r="G271" s="42">
        <f t="shared" si="11"/>
        <v>4828899.6800000006</v>
      </c>
      <c r="H271" s="42">
        <f t="shared" si="11"/>
        <v>4043027.4400000004</v>
      </c>
      <c r="I271" s="42">
        <f t="shared" si="11"/>
        <v>865532.42999999993</v>
      </c>
      <c r="J271" s="42">
        <f t="shared" si="11"/>
        <v>261439.61999999997</v>
      </c>
      <c r="K271" s="42">
        <f t="shared" si="11"/>
        <v>96790.3</v>
      </c>
      <c r="L271" s="42">
        <f t="shared" si="11"/>
        <v>20673194.050000004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46386.63</f>
        <v>46386.63</v>
      </c>
      <c r="G276" s="18">
        <f>19321.09</f>
        <v>19321.09</v>
      </c>
      <c r="H276" s="18">
        <f>1280.96+275+1244.69+159731.07+27056.9</f>
        <v>189588.62</v>
      </c>
      <c r="I276" s="18">
        <f>313.89+870.46+81.75+11316.37</f>
        <v>12582.470000000001</v>
      </c>
      <c r="J276" s="18">
        <f>10149+1499.99+24907.44</f>
        <v>36556.43</v>
      </c>
      <c r="K276" s="18">
        <f>4737.71</f>
        <v>4737.71</v>
      </c>
      <c r="L276" s="19">
        <f>SUM(F276:K276)</f>
        <v>309172.95</v>
      </c>
      <c r="M276" s="8" t="s">
        <v>287</v>
      </c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63816.62</f>
        <v>63816.62</v>
      </c>
      <c r="G277" s="18">
        <f>16062.8</f>
        <v>16062.8</v>
      </c>
      <c r="H277" s="18">
        <f>825.24+79431.54-0.01</f>
        <v>80256.77</v>
      </c>
      <c r="I277" s="18">
        <f>2506.8+3876.9</f>
        <v>6383.7000000000007</v>
      </c>
      <c r="J277" s="18">
        <f>680.81</f>
        <v>680.81</v>
      </c>
      <c r="K277" s="18"/>
      <c r="L277" s="19">
        <f>SUM(F277:K277)</f>
        <v>167200.70000000001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f>27595.69</f>
        <v>27595.69</v>
      </c>
      <c r="I281" s="18"/>
      <c r="J281" s="18"/>
      <c r="K281" s="18"/>
      <c r="L281" s="19">
        <f t="shared" ref="L281:L287" si="12">SUM(F281:K281)</f>
        <v>27595.69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f>2059.55+276</f>
        <v>2335.5500000000002</v>
      </c>
      <c r="I282" s="18"/>
      <c r="J282" s="18"/>
      <c r="K282" s="18"/>
      <c r="L282" s="19">
        <f t="shared" si="12"/>
        <v>2335.5500000000002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110203.25</v>
      </c>
      <c r="G290" s="42">
        <f t="shared" si="13"/>
        <v>35383.89</v>
      </c>
      <c r="H290" s="42">
        <f t="shared" si="13"/>
        <v>299776.63</v>
      </c>
      <c r="I290" s="42">
        <f t="shared" si="13"/>
        <v>18966.170000000002</v>
      </c>
      <c r="J290" s="42">
        <f t="shared" si="13"/>
        <v>37237.24</v>
      </c>
      <c r="K290" s="42">
        <f t="shared" si="13"/>
        <v>4737.71</v>
      </c>
      <c r="L290" s="41">
        <f t="shared" si="13"/>
        <v>506304.89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17644.5+19807+20840.37</f>
        <v>58291.869999999995</v>
      </c>
      <c r="G314" s="18">
        <f>2791.1+2133.18+2474.05+8680.49</f>
        <v>16078.82</v>
      </c>
      <c r="H314" s="18">
        <f>2922.15+27545.02+2080.88+3762.99+71763.24+12156.01</f>
        <v>120230.29</v>
      </c>
      <c r="I314" s="18">
        <f>1906.29+3078.86+3292.72+5084.17</f>
        <v>13362.039999999999</v>
      </c>
      <c r="J314" s="18">
        <f>11190.3</f>
        <v>11190.3</v>
      </c>
      <c r="K314" s="18">
        <f>2128.53</f>
        <v>2128.5300000000002</v>
      </c>
      <c r="L314" s="19">
        <f>SUM(F314:K314)</f>
        <v>221281.84999999998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28671.23</f>
        <v>28671.23</v>
      </c>
      <c r="G315" s="18">
        <f>7216.62</f>
        <v>7216.62</v>
      </c>
      <c r="H315" s="18">
        <f>370.76+35686.63</f>
        <v>36057.39</v>
      </c>
      <c r="I315" s="18">
        <f>92.18+1126.24+1741.79+0.01</f>
        <v>2960.2200000000003</v>
      </c>
      <c r="J315" s="18">
        <f>1515.36</f>
        <v>1515.36</v>
      </c>
      <c r="K315" s="18"/>
      <c r="L315" s="19">
        <f>SUM(F315:K315)</f>
        <v>76420.819999999992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>
        <f>5946.03</f>
        <v>5946.03</v>
      </c>
      <c r="J317" s="18"/>
      <c r="K317" s="18"/>
      <c r="L317" s="19">
        <f>SUM(F317:K317)</f>
        <v>5946.03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f>12398.06</f>
        <v>12398.06</v>
      </c>
      <c r="I319" s="18"/>
      <c r="J319" s="18"/>
      <c r="K319" s="18"/>
      <c r="L319" s="19">
        <f t="shared" ref="L319:L325" si="16">SUM(F319:K319)</f>
        <v>12398.06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>
        <f>925.3+124</f>
        <v>1049.3</v>
      </c>
      <c r="I320" s="18"/>
      <c r="J320" s="18"/>
      <c r="K320" s="18"/>
      <c r="L320" s="19">
        <f t="shared" si="16"/>
        <v>1049.3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86963.099999999991</v>
      </c>
      <c r="G328" s="42">
        <f t="shared" si="17"/>
        <v>23295.439999999999</v>
      </c>
      <c r="H328" s="42">
        <f t="shared" si="17"/>
        <v>169735.03999999998</v>
      </c>
      <c r="I328" s="42">
        <f t="shared" si="17"/>
        <v>22268.289999999997</v>
      </c>
      <c r="J328" s="42">
        <f t="shared" si="17"/>
        <v>12705.66</v>
      </c>
      <c r="K328" s="42">
        <f t="shared" si="17"/>
        <v>2128.5300000000002</v>
      </c>
      <c r="L328" s="41">
        <f t="shared" si="17"/>
        <v>317096.06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>
        <f>38692+8250+10170</f>
        <v>57112</v>
      </c>
      <c r="I336" s="18"/>
      <c r="J336" s="18">
        <f>1404676</f>
        <v>1404676</v>
      </c>
      <c r="K336" s="18"/>
      <c r="L336" s="19">
        <f t="shared" si="18"/>
        <v>1461788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57112</v>
      </c>
      <c r="I337" s="41">
        <f t="shared" si="19"/>
        <v>0</v>
      </c>
      <c r="J337" s="41">
        <f t="shared" si="19"/>
        <v>1404676</v>
      </c>
      <c r="K337" s="41">
        <f t="shared" si="19"/>
        <v>0</v>
      </c>
      <c r="L337" s="41">
        <f t="shared" si="18"/>
        <v>1461788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197166.34999999998</v>
      </c>
      <c r="G338" s="41">
        <f t="shared" si="20"/>
        <v>58679.33</v>
      </c>
      <c r="H338" s="41">
        <f t="shared" si="20"/>
        <v>526623.66999999993</v>
      </c>
      <c r="I338" s="41">
        <f t="shared" si="20"/>
        <v>41234.46</v>
      </c>
      <c r="J338" s="41">
        <f t="shared" si="20"/>
        <v>1454618.9</v>
      </c>
      <c r="K338" s="41">
        <f t="shared" si="20"/>
        <v>6866.24</v>
      </c>
      <c r="L338" s="41">
        <f t="shared" si="20"/>
        <v>2285188.9500000002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 t="s">
        <v>287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197166.34999999998</v>
      </c>
      <c r="G352" s="41">
        <f>G338</f>
        <v>58679.33</v>
      </c>
      <c r="H352" s="41">
        <f>H338</f>
        <v>526623.66999999993</v>
      </c>
      <c r="I352" s="41">
        <f>I338</f>
        <v>41234.46</v>
      </c>
      <c r="J352" s="41">
        <f>J338</f>
        <v>1454618.9</v>
      </c>
      <c r="K352" s="47">
        <f>K338+K351</f>
        <v>6866.24</v>
      </c>
      <c r="L352" s="41">
        <f>L338+L351</f>
        <v>2285188.9500000002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414179.71*0.69</f>
        <v>285783.9999</v>
      </c>
      <c r="I358" s="18"/>
      <c r="J358" s="18"/>
      <c r="K358" s="18"/>
      <c r="L358" s="13">
        <f>SUM(F358:K358)</f>
        <v>285783.9999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f>414179.71*0.31</f>
        <v>128395.71010000001</v>
      </c>
      <c r="I360" s="18"/>
      <c r="J360" s="18"/>
      <c r="K360" s="18"/>
      <c r="L360" s="19">
        <f>SUM(F360:K360)</f>
        <v>128395.71010000001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414179.71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414179.71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f>38692+8250+10170</f>
        <v>57112</v>
      </c>
      <c r="I379" s="18"/>
      <c r="J379" s="18">
        <f>1404676</f>
        <v>1404676</v>
      </c>
      <c r="K379" s="18"/>
      <c r="L379" s="13">
        <f t="shared" si="23"/>
        <v>1461788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57112</v>
      </c>
      <c r="I382" s="41">
        <f t="shared" si="24"/>
        <v>0</v>
      </c>
      <c r="J382" s="47">
        <f t="shared" si="24"/>
        <v>1404676</v>
      </c>
      <c r="K382" s="47">
        <f t="shared" si="24"/>
        <v>0</v>
      </c>
      <c r="L382" s="47">
        <f t="shared" si="24"/>
        <v>1461788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169.81</v>
      </c>
      <c r="I392" s="18"/>
      <c r="J392" s="24" t="s">
        <v>289</v>
      </c>
      <c r="K392" s="24" t="s">
        <v>289</v>
      </c>
      <c r="L392" s="56">
        <f t="shared" si="25"/>
        <v>169.81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169.81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169.81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/>
      <c r="I397" s="18"/>
      <c r="J397" s="24" t="s">
        <v>289</v>
      </c>
      <c r="K397" s="24" t="s">
        <v>289</v>
      </c>
      <c r="L397" s="56">
        <f t="shared" si="26"/>
        <v>25000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25000</v>
      </c>
      <c r="H408" s="47">
        <f>H393+H401+H407</f>
        <v>169.81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25169.81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672435.49</v>
      </c>
      <c r="G441" s="18"/>
      <c r="H441" s="18"/>
      <c r="I441" s="56">
        <f t="shared" si="33"/>
        <v>672435.49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672435.49</v>
      </c>
      <c r="G446" s="13">
        <f>SUM(G439:G445)</f>
        <v>0</v>
      </c>
      <c r="H446" s="13">
        <f>SUM(H439:H445)</f>
        <v>0</v>
      </c>
      <c r="I446" s="13">
        <f>SUM(I439:I445)</f>
        <v>672435.49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672435.49</v>
      </c>
      <c r="G459" s="18"/>
      <c r="H459" s="18"/>
      <c r="I459" s="56">
        <f t="shared" si="34"/>
        <v>672435.49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672435.49</v>
      </c>
      <c r="G460" s="83">
        <f>SUM(G454:G459)</f>
        <v>0</v>
      </c>
      <c r="H460" s="83">
        <f>SUM(H454:H459)</f>
        <v>0</v>
      </c>
      <c r="I460" s="83">
        <f>SUM(I454:I459)</f>
        <v>672435.49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672435.49</v>
      </c>
      <c r="G461" s="42">
        <f>G452+G460</f>
        <v>0</v>
      </c>
      <c r="H461" s="42">
        <f>H452+H460</f>
        <v>0</v>
      </c>
      <c r="I461" s="42">
        <f>I452+I460</f>
        <v>672435.49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1278716.96</v>
      </c>
      <c r="G465" s="18">
        <v>2795.46</v>
      </c>
      <c r="H465" s="18">
        <v>153593.54</v>
      </c>
      <c r="I465" s="18">
        <v>0</v>
      </c>
      <c r="J465" s="18">
        <v>647265.68000000005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20087824.129999999</v>
      </c>
      <c r="G468" s="18">
        <v>411395.74</v>
      </c>
      <c r="H468" s="18">
        <f>590003.72+65435+56610.5+139079.37+1461788</f>
        <v>2312916.59</v>
      </c>
      <c r="I468" s="18">
        <v>1461788</v>
      </c>
      <c r="J468" s="18">
        <f>169.81+25000</f>
        <v>25169.81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25000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20112824.129999999</v>
      </c>
      <c r="G470" s="53">
        <f>SUM(G468:G469)</f>
        <v>411395.74</v>
      </c>
      <c r="H470" s="53">
        <f>SUM(H468:H469)</f>
        <v>2312916.59</v>
      </c>
      <c r="I470" s="53">
        <f>SUM(I468:I469)</f>
        <v>1461788</v>
      </c>
      <c r="J470" s="53">
        <f>SUM(J468:J469)</f>
        <v>25169.81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20638388.22+9805.83+25000</f>
        <v>20673194.049999997</v>
      </c>
      <c r="G472" s="18">
        <v>414179.71</v>
      </c>
      <c r="H472" s="18">
        <f>590003.72+95228.58+53986.42+93304.02+1461788-9121.79</f>
        <v>2285188.9500000002</v>
      </c>
      <c r="I472" s="18">
        <v>1461788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20673194.049999997</v>
      </c>
      <c r="G474" s="53">
        <f>SUM(G472:G473)</f>
        <v>414179.71</v>
      </c>
      <c r="H474" s="53">
        <f>SUM(H472:H473)</f>
        <v>2285188.9500000002</v>
      </c>
      <c r="I474" s="53">
        <f>SUM(I472:I473)</f>
        <v>1461788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718347.04000000283</v>
      </c>
      <c r="G476" s="53">
        <f>(G465+G470)- G474</f>
        <v>11.489999999990687</v>
      </c>
      <c r="H476" s="53">
        <f>(H465+H470)- H474</f>
        <v>181321.1799999997</v>
      </c>
      <c r="I476" s="53">
        <f>(I465+I470)- I474</f>
        <v>0</v>
      </c>
      <c r="J476" s="53">
        <f>(J465+J470)- J474</f>
        <v>672435.49000000011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>
        <v>25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913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 t="s">
        <v>914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2012334</v>
      </c>
      <c r="G493" s="18">
        <v>4150000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2.59</v>
      </c>
      <c r="G494" s="18">
        <v>3.01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2012334</v>
      </c>
      <c r="G495" s="18">
        <v>0</v>
      </c>
      <c r="H495" s="18"/>
      <c r="I495" s="18"/>
      <c r="J495" s="18"/>
      <c r="K495" s="53">
        <f>SUM(F495:J495)</f>
        <v>2012334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23679.27</v>
      </c>
      <c r="G497" s="18">
        <v>0</v>
      </c>
      <c r="H497" s="18"/>
      <c r="I497" s="18"/>
      <c r="J497" s="18"/>
      <c r="K497" s="53">
        <f t="shared" si="35"/>
        <v>23679.27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1988654.73</v>
      </c>
      <c r="G498" s="204">
        <v>4150000</v>
      </c>
      <c r="H498" s="204"/>
      <c r="I498" s="204"/>
      <c r="J498" s="204"/>
      <c r="K498" s="205">
        <f t="shared" si="35"/>
        <v>6138654.7300000004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484124.21</v>
      </c>
      <c r="G499" s="18">
        <v>1767939.52</v>
      </c>
      <c r="H499" s="18"/>
      <c r="I499" s="18"/>
      <c r="J499" s="18"/>
      <c r="K499" s="53">
        <f t="shared" si="35"/>
        <v>2252063.73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2472778.94</v>
      </c>
      <c r="G500" s="42">
        <f>SUM(G498:G499)</f>
        <v>5917939.5199999996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8390718.459999999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75123.61</v>
      </c>
      <c r="G501" s="204">
        <v>56563.519999999997</v>
      </c>
      <c r="H501" s="204"/>
      <c r="I501" s="204"/>
      <c r="J501" s="204"/>
      <c r="K501" s="205">
        <f t="shared" si="35"/>
        <v>131687.13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51740.89</v>
      </c>
      <c r="G502" s="18">
        <v>92697.88</v>
      </c>
      <c r="H502" s="18"/>
      <c r="I502" s="18"/>
      <c r="J502" s="18"/>
      <c r="K502" s="53">
        <f t="shared" si="35"/>
        <v>144438.77000000002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126864.5</v>
      </c>
      <c r="G503" s="42">
        <f>SUM(G501:G502)</f>
        <v>149261.4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276125.90000000002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173153.47+303069.09+120897+227970.35+226891+263879.62+32890.11+22446+15334.06+9104.02</f>
        <v>1395634.7200000004</v>
      </c>
      <c r="G521" s="18">
        <f>197000.1+25587.98+26315.3+3099.58+2544.32+8879+17267.94+7262.97+17119.07+46045.34+110058.08+3391.52+8988.28+16689.8+19455.91+15954.6+32127.7+17189.98+1527+2440.05+2187.5+1739.13+1869.2+569+1226.71</f>
        <v>586536.05999999994</v>
      </c>
      <c r="H521" s="18">
        <f>6183.36+12882.84+1418.04+45553.04+35.6+248637.51</f>
        <v>314710.39</v>
      </c>
      <c r="I521" s="18">
        <f>163.5+31.99+249.32+696.06+1545.55+104.21+3704.31+102.44</f>
        <v>6597.38</v>
      </c>
      <c r="J521" s="18"/>
      <c r="K521" s="18"/>
      <c r="L521" s="88">
        <f>SUM(F521:K521)</f>
        <v>2303478.5500000003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134402+200799.06+10084.44</f>
        <v>345285.5</v>
      </c>
      <c r="G523" s="18">
        <f>45972.95+101355.1+3825.17+7516.74+9677.2+14369.37+18469.32+19031.33+781.36</f>
        <v>220998.53999999998</v>
      </c>
      <c r="H523" s="18">
        <f>244+1165.5+236866+286159.48+2778.04</f>
        <v>527213.02</v>
      </c>
      <c r="I523" s="18">
        <f>92.18+171.48+1545.57+1664.26</f>
        <v>3473.49</v>
      </c>
      <c r="J523" s="18"/>
      <c r="K523" s="18"/>
      <c r="L523" s="88">
        <f>SUM(F523:K523)</f>
        <v>1096970.55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1740920.2200000004</v>
      </c>
      <c r="G524" s="108">
        <f t="shared" ref="G524:L524" si="36">SUM(G521:G523)</f>
        <v>807534.59999999986</v>
      </c>
      <c r="H524" s="108">
        <f t="shared" si="36"/>
        <v>841923.41</v>
      </c>
      <c r="I524" s="108">
        <f t="shared" si="36"/>
        <v>10070.869999999999</v>
      </c>
      <c r="J524" s="108">
        <f t="shared" si="36"/>
        <v>0</v>
      </c>
      <c r="K524" s="108">
        <f t="shared" si="36"/>
        <v>0</v>
      </c>
      <c r="L524" s="89">
        <f t="shared" si="36"/>
        <v>3400449.1000000006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326444.87*0.69</f>
        <v>225246.96029999998</v>
      </c>
      <c r="G526" s="18">
        <f>117497.13*0.69</f>
        <v>81073.01969999999</v>
      </c>
      <c r="H526" s="18">
        <f>288623.97+3315.49</f>
        <v>291939.45999999996</v>
      </c>
      <c r="I526" s="18">
        <f>3967.31*0.69</f>
        <v>2737.4438999999998</v>
      </c>
      <c r="J526" s="18">
        <f>4196.5*0.69</f>
        <v>2895.5849999999996</v>
      </c>
      <c r="K526" s="18"/>
      <c r="L526" s="88">
        <f>SUM(F526:K526)</f>
        <v>603892.46889999986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 t="s">
        <v>287</v>
      </c>
      <c r="G527" s="18" t="s">
        <v>287</v>
      </c>
      <c r="H527" s="18" t="s">
        <v>287</v>
      </c>
      <c r="I527" s="18" t="s">
        <v>287</v>
      </c>
      <c r="J527" s="18" t="s">
        <v>287</v>
      </c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326444.87*0.31</f>
        <v>101197.9097</v>
      </c>
      <c r="G528" s="18">
        <f>117497.13*0.31</f>
        <v>36424.1103</v>
      </c>
      <c r="H528" s="18">
        <f>129671.64+1489.56</f>
        <v>131161.20000000001</v>
      </c>
      <c r="I528" s="18">
        <f>3967.31*0.31</f>
        <v>1229.8661</v>
      </c>
      <c r="J528" s="18">
        <f>4196.5*0.31</f>
        <v>1300.915</v>
      </c>
      <c r="K528" s="18"/>
      <c r="L528" s="88">
        <f>SUM(F528:K528)</f>
        <v>271314.00109999999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326444.87</v>
      </c>
      <c r="G529" s="89">
        <f t="shared" ref="G529:L529" si="37">SUM(G526:G528)</f>
        <v>117497.12999999999</v>
      </c>
      <c r="H529" s="89">
        <f t="shared" si="37"/>
        <v>423100.66</v>
      </c>
      <c r="I529" s="89">
        <f t="shared" si="37"/>
        <v>3967.3099999999995</v>
      </c>
      <c r="J529" s="89">
        <f t="shared" si="37"/>
        <v>4196.5</v>
      </c>
      <c r="K529" s="89">
        <f t="shared" si="37"/>
        <v>0</v>
      </c>
      <c r="L529" s="89">
        <f t="shared" si="37"/>
        <v>875206.46999999986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92787.75</f>
        <v>92787.75</v>
      </c>
      <c r="G531" s="18">
        <f>43411.2</f>
        <v>43411.199999999997</v>
      </c>
      <c r="H531" s="18">
        <f>8145.81*0.69</f>
        <v>5620.6089000000002</v>
      </c>
      <c r="I531" s="18">
        <f>450.17*0.69</f>
        <v>310.6173</v>
      </c>
      <c r="J531" s="18"/>
      <c r="K531" s="18"/>
      <c r="L531" s="88">
        <f>SUM(F531:K531)</f>
        <v>142130.17620000002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41687.25</f>
        <v>41687.25</v>
      </c>
      <c r="G533" s="18">
        <f>19503.59</f>
        <v>19503.59</v>
      </c>
      <c r="H533" s="18">
        <f>8145.81*0.31</f>
        <v>2525.2011000000002</v>
      </c>
      <c r="I533" s="18">
        <f>450.17*0.31</f>
        <v>139.55270000000002</v>
      </c>
      <c r="J533" s="18"/>
      <c r="K533" s="18"/>
      <c r="L533" s="88">
        <f>SUM(F533:K533)</f>
        <v>63855.593799999995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134475</v>
      </c>
      <c r="G534" s="89">
        <f t="shared" ref="G534:L534" si="38">SUM(G531:G533)</f>
        <v>62914.789999999994</v>
      </c>
      <c r="H534" s="89">
        <f t="shared" si="38"/>
        <v>8145.81</v>
      </c>
      <c r="I534" s="89">
        <f t="shared" si="38"/>
        <v>450.17</v>
      </c>
      <c r="J534" s="89">
        <f t="shared" si="38"/>
        <v>0</v>
      </c>
      <c r="K534" s="89">
        <f t="shared" si="38"/>
        <v>0</v>
      </c>
      <c r="L534" s="89">
        <f t="shared" si="38"/>
        <v>205985.77000000002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40268.99*0.69</f>
        <v>27785.603099999997</v>
      </c>
      <c r="I536" s="18"/>
      <c r="J536" s="18"/>
      <c r="K536" s="18"/>
      <c r="L536" s="88">
        <f>SUM(F536:K536)</f>
        <v>27785.603099999997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f>40268.99*0.31</f>
        <v>12483.3869</v>
      </c>
      <c r="I538" s="18"/>
      <c r="J538" s="18"/>
      <c r="K538" s="18"/>
      <c r="L538" s="88">
        <f>SUM(F538:K538)</f>
        <v>12483.3869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40268.99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40268.99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188154.87</v>
      </c>
      <c r="I541" s="18"/>
      <c r="J541" s="18"/>
      <c r="K541" s="18"/>
      <c r="L541" s="88">
        <f>SUM(F541:K541)</f>
        <v>188154.87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84533.35</f>
        <v>84533.35</v>
      </c>
      <c r="I543" s="18"/>
      <c r="J543" s="18"/>
      <c r="K543" s="18"/>
      <c r="L543" s="88">
        <f>SUM(F543:K543)</f>
        <v>84533.35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272688.21999999997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272688.21999999997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2201840.0900000003</v>
      </c>
      <c r="G545" s="89">
        <f t="shared" ref="G545:L545" si="41">G524+G529+G534+G539+G544</f>
        <v>987946.5199999999</v>
      </c>
      <c r="H545" s="89">
        <f t="shared" si="41"/>
        <v>1586127.09</v>
      </c>
      <c r="I545" s="89">
        <f t="shared" si="41"/>
        <v>14488.349999999999</v>
      </c>
      <c r="J545" s="89">
        <f t="shared" si="41"/>
        <v>4196.5</v>
      </c>
      <c r="K545" s="89">
        <f t="shared" si="41"/>
        <v>0</v>
      </c>
      <c r="L545" s="89">
        <f t="shared" si="41"/>
        <v>4794598.55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2303478.5500000003</v>
      </c>
      <c r="G549" s="87">
        <f>L526</f>
        <v>603892.46889999986</v>
      </c>
      <c r="H549" s="87">
        <f>L531</f>
        <v>142130.17620000002</v>
      </c>
      <c r="I549" s="87">
        <f>L536</f>
        <v>27785.603099999997</v>
      </c>
      <c r="J549" s="87">
        <f>L541</f>
        <v>188154.87</v>
      </c>
      <c r="K549" s="87">
        <f>SUM(F549:J549)</f>
        <v>3265441.6682000002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1096970.55</v>
      </c>
      <c r="G551" s="87">
        <f>L528</f>
        <v>271314.00109999999</v>
      </c>
      <c r="H551" s="87">
        <f>L533</f>
        <v>63855.593799999995</v>
      </c>
      <c r="I551" s="87">
        <f>L538</f>
        <v>12483.3869</v>
      </c>
      <c r="J551" s="87">
        <f>L543</f>
        <v>84533.35</v>
      </c>
      <c r="K551" s="87">
        <f>SUM(F551:J551)</f>
        <v>1529156.8818000001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3400449.1000000006</v>
      </c>
      <c r="G552" s="89">
        <f t="shared" si="42"/>
        <v>875206.46999999986</v>
      </c>
      <c r="H552" s="89">
        <f t="shared" si="42"/>
        <v>205985.77000000002</v>
      </c>
      <c r="I552" s="89">
        <f t="shared" si="42"/>
        <v>40268.99</v>
      </c>
      <c r="J552" s="89">
        <f t="shared" si="42"/>
        <v>272688.21999999997</v>
      </c>
      <c r="K552" s="89">
        <f t="shared" si="42"/>
        <v>4794598.5500000007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 t="s">
        <v>287</v>
      </c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 t="s">
        <v>287</v>
      </c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1165.5</v>
      </c>
      <c r="I579" s="87">
        <f t="shared" si="47"/>
        <v>1165.5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f>236866</f>
        <v>236866</v>
      </c>
      <c r="I580" s="87">
        <f t="shared" si="47"/>
        <v>236866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203084.47+45553.04</f>
        <v>248637.51</v>
      </c>
      <c r="G582" s="18"/>
      <c r="H582" s="18">
        <f>286159.48+91240.85</f>
        <v>377400.32999999996</v>
      </c>
      <c r="I582" s="87">
        <f t="shared" si="47"/>
        <v>626037.84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388408.73</v>
      </c>
      <c r="I585" s="87">
        <f t="shared" si="47"/>
        <v>388408.73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402483.9+881.92</f>
        <v>403365.82</v>
      </c>
      <c r="I591" s="18"/>
      <c r="J591" s="18">
        <f>180826.1+396.23</f>
        <v>181222.33000000002</v>
      </c>
      <c r="K591" s="104">
        <f t="shared" ref="K591:K597" si="48">SUM(H591:J591)</f>
        <v>584588.15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188154.87</v>
      </c>
      <c r="I592" s="18"/>
      <c r="J592" s="18">
        <v>84533.35</v>
      </c>
      <c r="K592" s="104">
        <f t="shared" si="48"/>
        <v>272688.21999999997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75681.100000000006</v>
      </c>
      <c r="K593" s="104">
        <f t="shared" si="48"/>
        <v>75681.100000000006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4995.2700000000004</v>
      </c>
      <c r="I594" s="18"/>
      <c r="J594" s="18">
        <v>28695.24</v>
      </c>
      <c r="K594" s="104">
        <f t="shared" si="48"/>
        <v>33690.51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4054.28+3265+8934.47</f>
        <v>16253.75</v>
      </c>
      <c r="I595" s="18"/>
      <c r="J595" s="18">
        <v>4534.92</v>
      </c>
      <c r="K595" s="104">
        <f t="shared" si="48"/>
        <v>20788.669999999998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612769.71</v>
      </c>
      <c r="I598" s="108">
        <f>SUM(I591:I597)</f>
        <v>0</v>
      </c>
      <c r="J598" s="108">
        <f>SUM(J591:J597)</f>
        <v>374666.94</v>
      </c>
      <c r="K598" s="108">
        <f>SUM(K591:K597)</f>
        <v>987436.65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4"/>
      <c r="I602" s="4"/>
      <c r="J602" s="4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 t="s">
        <v>287</v>
      </c>
      <c r="I603" s="18"/>
      <c r="J603" s="18" t="s">
        <v>287</v>
      </c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4185.23+5639.37+10149+16252.46+47315.98+1499.99+88040.63</f>
        <v>173082.66000000003</v>
      </c>
      <c r="I604" s="18"/>
      <c r="J604" s="18">
        <f>9737.95+3956+34241.18+50810.26+39554.48-0.01</f>
        <v>138299.86000000002</v>
      </c>
      <c r="K604" s="104">
        <f>SUM(H604:J604)</f>
        <v>311382.52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SUM(H603:H604)</f>
        <v>173082.66000000003</v>
      </c>
      <c r="I605" s="108">
        <f>SUM(I602:I604)</f>
        <v>0</v>
      </c>
      <c r="J605" s="108">
        <f>SUM(J603:J604)</f>
        <v>138299.86000000002</v>
      </c>
      <c r="K605" s="108">
        <f>SUM(K602:K604)</f>
        <v>311382.52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15334.06+9104.02</f>
        <v>24438.080000000002</v>
      </c>
      <c r="G611" s="18">
        <f>1869.2+569+1226.71</f>
        <v>3664.91</v>
      </c>
      <c r="H611" s="18">
        <f>12882.84+1418.04+45553.04+35.6</f>
        <v>59889.52</v>
      </c>
      <c r="I611" s="18">
        <f>102.44</f>
        <v>102.44</v>
      </c>
      <c r="J611" s="18"/>
      <c r="K611" s="18"/>
      <c r="L611" s="88">
        <f>SUM(F611:K611)</f>
        <v>88094.95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24438.080000000002</v>
      </c>
      <c r="G614" s="108">
        <f t="shared" si="49"/>
        <v>3664.91</v>
      </c>
      <c r="H614" s="108">
        <f t="shared" si="49"/>
        <v>59889.52</v>
      </c>
      <c r="I614" s="108">
        <f t="shared" si="49"/>
        <v>102.44</v>
      </c>
      <c r="J614" s="108">
        <f t="shared" si="49"/>
        <v>0</v>
      </c>
      <c r="K614" s="108">
        <f t="shared" si="49"/>
        <v>0</v>
      </c>
      <c r="L614" s="89">
        <f t="shared" si="49"/>
        <v>88094.95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759965.2699999999</v>
      </c>
      <c r="H617" s="109">
        <f>SUM(F52)</f>
        <v>759965.27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48591.009999999995</v>
      </c>
      <c r="H618" s="109">
        <f>SUM(G52)</f>
        <v>48591.01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113532.66</v>
      </c>
      <c r="H619" s="109">
        <f>SUM(H52)</f>
        <v>113532.66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672435.49</v>
      </c>
      <c r="H621" s="109">
        <f>SUM(J52)</f>
        <v>672435.49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718347.04</v>
      </c>
      <c r="H622" s="109">
        <f>F476</f>
        <v>718347.04000000283</v>
      </c>
      <c r="I622" s="121" t="s">
        <v>101</v>
      </c>
      <c r="J622" s="109">
        <f t="shared" ref="J622:J655" si="50">G622-H622</f>
        <v>-2.7939677238464355E-9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11.49</v>
      </c>
      <c r="H623" s="109">
        <f>G476</f>
        <v>11.489999999990687</v>
      </c>
      <c r="I623" s="121" t="s">
        <v>102</v>
      </c>
      <c r="J623" s="109">
        <f t="shared" si="50"/>
        <v>9.3134389089755132E-12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181321.18</v>
      </c>
      <c r="H624" s="109">
        <f>H476</f>
        <v>181321.1799999997</v>
      </c>
      <c r="I624" s="121" t="s">
        <v>103</v>
      </c>
      <c r="J624" s="109">
        <f t="shared" si="50"/>
        <v>2.9103830456733704E-10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672435.49</v>
      </c>
      <c r="H626" s="109">
        <f>J476</f>
        <v>672435.49000000011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20087824.129999999</v>
      </c>
      <c r="H627" s="104">
        <f>SUM(F468)</f>
        <v>20087824.129999999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411395.74</v>
      </c>
      <c r="H628" s="104">
        <f>SUM(G468)</f>
        <v>411395.74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2312916.59</v>
      </c>
      <c r="H629" s="104">
        <f>SUM(H468)</f>
        <v>2312916.59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1461788</v>
      </c>
      <c r="H630" s="104">
        <f>SUM(I468)</f>
        <v>1461788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25169.81</v>
      </c>
      <c r="H631" s="104">
        <f>SUM(J468)</f>
        <v>25169.81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20673194.050000004</v>
      </c>
      <c r="H632" s="104">
        <f>SUM(F472)</f>
        <v>20673194.049999997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2285188.9500000002</v>
      </c>
      <c r="H633" s="104">
        <f>SUM(H472)</f>
        <v>2285188.9500000002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414179.71</v>
      </c>
      <c r="H635" s="104">
        <f>SUM(G472)</f>
        <v>414179.71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1461788</v>
      </c>
      <c r="H636" s="104">
        <f>SUM(I472)</f>
        <v>1461788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25169.81</v>
      </c>
      <c r="H637" s="164">
        <f>SUM(J468)</f>
        <v>25169.81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672435.49</v>
      </c>
      <c r="H639" s="104">
        <f>SUM(F461)</f>
        <v>672435.49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672435.49</v>
      </c>
      <c r="H642" s="104">
        <f>SUM(I461)</f>
        <v>672435.49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169.81</v>
      </c>
      <c r="H644" s="104">
        <f>H408</f>
        <v>169.81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25000</v>
      </c>
      <c r="H645" s="104">
        <f>G408</f>
        <v>25000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25169.81</v>
      </c>
      <c r="H646" s="104">
        <f>L408</f>
        <v>25169.81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987436.65</v>
      </c>
      <c r="H647" s="104">
        <f>L208+L226+L244</f>
        <v>987436.65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311382.52</v>
      </c>
      <c r="H648" s="104">
        <f>(J257+J338)-(J255+J336)</f>
        <v>311382.51999999979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612769.71000000008</v>
      </c>
      <c r="H649" s="104">
        <f>H598</f>
        <v>612769.71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374666.93999999994</v>
      </c>
      <c r="H651" s="104">
        <f>J598</f>
        <v>374666.94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25000</v>
      </c>
      <c r="H655" s="104">
        <f>K266+K347</f>
        <v>25000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14113683.729900002</v>
      </c>
      <c r="G660" s="19">
        <f>(L229+L309+L359)</f>
        <v>0</v>
      </c>
      <c r="H660" s="19">
        <f>(L247+L328+L360)</f>
        <v>7722841.4801000003</v>
      </c>
      <c r="I660" s="19">
        <f>SUM(F660:H660)</f>
        <v>21836525.210000001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145900.5</v>
      </c>
      <c r="G661" s="19">
        <f>(L359/IF(SUM(L358:L360)=0,1,SUM(L358:L360))*(SUM(G97:G110)))</f>
        <v>0</v>
      </c>
      <c r="H661" s="19">
        <f>(L360/IF(SUM(L358:L360)=0,1,SUM(L358:L360))*(SUM(G97:G110)))</f>
        <v>65549.5</v>
      </c>
      <c r="I661" s="19">
        <f>SUM(F661:H661)</f>
        <v>211450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612769.71000000008</v>
      </c>
      <c r="G662" s="19">
        <f>(L226+L306)-(J226+J306)</f>
        <v>0</v>
      </c>
      <c r="H662" s="19">
        <f>(L244+L325)-(J244+J325)</f>
        <v>374666.93999999994</v>
      </c>
      <c r="I662" s="19">
        <f>SUM(F662:H662)</f>
        <v>987436.65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SUM(F575:F587)+SUM(H603:H604)+SUM(L611)</f>
        <v>509815.12000000005</v>
      </c>
      <c r="G663" s="199">
        <f>SUM(G575:G587)+SUM(I602:I604)+L612</f>
        <v>0</v>
      </c>
      <c r="H663" s="199">
        <f>SUM(H575:H587)+SUM(J603:J604)+L613</f>
        <v>1142140.42</v>
      </c>
      <c r="I663" s="19">
        <f>SUM(F663:H663)</f>
        <v>1651955.54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12845198.399900002</v>
      </c>
      <c r="G664" s="19">
        <f>G660-SUM(G661:G663)</f>
        <v>0</v>
      </c>
      <c r="H664" s="19">
        <f>H660-SUM(H661:H663)</f>
        <v>6140484.6201000009</v>
      </c>
      <c r="I664" s="19">
        <f>I660-SUM(I661:I663)</f>
        <v>18985683.02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250.17+210.24+363.88</f>
        <v>824.29</v>
      </c>
      <c r="G665" s="248"/>
      <c r="H665" s="248">
        <f>368.19</f>
        <v>368.19</v>
      </c>
      <c r="I665" s="19">
        <f>SUM(F665:H665)</f>
        <v>1192.48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15583.35</v>
      </c>
      <c r="G667" s="19" t="e">
        <f>ROUND(G664/G665,2)</f>
        <v>#DIV/0!</v>
      </c>
      <c r="H667" s="19">
        <f>ROUND(H664/H665,2)</f>
        <v>16677.490000000002</v>
      </c>
      <c r="I667" s="19">
        <f>ROUND(I664/I665,2)</f>
        <v>15921.18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-9.99</v>
      </c>
      <c r="I670" s="19">
        <f>SUM(F670:H670)</f>
        <v>-9.99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15583.35</v>
      </c>
      <c r="G672" s="19" t="e">
        <f>ROUND((G664+G669)/(G665+G670),2)</f>
        <v>#DIV/0!</v>
      </c>
      <c r="H672" s="19">
        <f>ROUND((H664+H669)/(H665+H670),2)</f>
        <v>17142.61</v>
      </c>
      <c r="I672" s="19">
        <f>ROUND((I664+I669)/(I665+I670),2)</f>
        <v>16055.68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Mascoma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5735370.7300000004</v>
      </c>
      <c r="C9" s="229">
        <f>'DOE25'!G197+'DOE25'!G215+'DOE25'!G233+'DOE25'!G276+'DOE25'!G295+'DOE25'!G314</f>
        <v>2621077.9699999997</v>
      </c>
    </row>
    <row r="10" spans="1:3" x14ac:dyDescent="0.2">
      <c r="A10" t="s">
        <v>779</v>
      </c>
      <c r="B10" s="240">
        <f>5023950.17+67227+21000+175059.75+17644.5+11957.01</f>
        <v>5316838.43</v>
      </c>
      <c r="C10" s="240">
        <f>248998.42+229886.26+283155.66+378281.45+17171.22+12642.69+12208.34+22149.93+23138.31+13796+1606.63+68490.48+63737.01+117512.03+114228.77+4892.6+1787.94+849.56+133478.97+124160.04+225332.22+218301.84+4149.82+1297.1+2474.05+823.63+14337+27399.36+29861.44</f>
        <v>2396148.7699999996</v>
      </c>
    </row>
    <row r="11" spans="1:3" x14ac:dyDescent="0.2">
      <c r="A11" t="s">
        <v>780</v>
      </c>
      <c r="B11" s="240">
        <f>354580.95+2000+19807</f>
        <v>376387.95</v>
      </c>
      <c r="C11" s="240">
        <f>25772.56+44839.42+153.02+8350.51+8775.43+2524.05+6816.61+2146.98+4619.14+161.56+64.52+3794.82+10002.02+1494+2133.18</f>
        <v>121647.82</v>
      </c>
    </row>
    <row r="12" spans="1:3" x14ac:dyDescent="0.2">
      <c r="A12" t="s">
        <v>781</v>
      </c>
      <c r="B12" s="240">
        <f>14257.87+17688.71+750.53+9447.24</f>
        <v>42144.35</v>
      </c>
      <c r="C12" s="240">
        <f>74295.35+1353.02+612.75+4.43+805.89+3151.45+67.34+409.34+763.27+831.35+8.21+1431.5+5601.29+6966.3+985.28+1624.09+3710.12+660.4</f>
        <v>103281.37999999999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5735370.7299999995</v>
      </c>
      <c r="C13" s="231">
        <f>SUM(C10:C12)</f>
        <v>2621077.9699999993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2294327.94</v>
      </c>
      <c r="C18" s="229">
        <f>'DOE25'!G198+'DOE25'!G216+'DOE25'!G234+'DOE25'!G277+'DOE25'!G296+'DOE25'!G315</f>
        <v>1011225.9900000001</v>
      </c>
    </row>
    <row r="19" spans="1:3" x14ac:dyDescent="0.2">
      <c r="A19" t="s">
        <v>779</v>
      </c>
      <c r="B19" s="240">
        <f>912791.07+32066.7+15334.06</f>
        <v>960191.83</v>
      </c>
      <c r="C19" s="240">
        <f>1869.2+1226.71+90931.14+54685.63+98254.36+78506.65</f>
        <v>325473.68999999994</v>
      </c>
    </row>
    <row r="20" spans="1:3" x14ac:dyDescent="0.2">
      <c r="A20" t="s">
        <v>780</v>
      </c>
      <c r="B20" s="240">
        <f>1031192.63+9104.02</f>
        <v>1040296.65</v>
      </c>
      <c r="C20" s="240">
        <f>33.29+569+6561.79+23344.53+106068.96+53390.53+154456.87+141710.53</f>
        <v>486135.5</v>
      </c>
    </row>
    <row r="21" spans="1:3" x14ac:dyDescent="0.2">
      <c r="A21" t="s">
        <v>781</v>
      </c>
      <c r="B21" s="240">
        <f>90225+66410+23957.19+44250+68997.27</f>
        <v>293839.46000000002</v>
      </c>
      <c r="C21" s="240">
        <f>2487.2+64983.88+37613.4+3341.36+4996.75+23279.42+62914.79</f>
        <v>199616.80000000002</v>
      </c>
    </row>
    <row r="22" spans="1:3" x14ac:dyDescent="0.2">
      <c r="A22" t="str">
        <f>IF(B18=B22,IF(C18=C22,"Check Total OK","Check Total Error"),"Check Total Error")</f>
        <v>Check Total Error</v>
      </c>
      <c r="B22" s="231">
        <f>SUM(B19:B21)</f>
        <v>2294327.94</v>
      </c>
      <c r="C22" s="231">
        <f>SUM(C20:C21)</f>
        <v>685752.3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 t="s">
        <v>287</v>
      </c>
    </row>
    <row r="29" spans="1:3" x14ac:dyDescent="0.2">
      <c r="A29" t="s">
        <v>780</v>
      </c>
      <c r="B29" s="240"/>
      <c r="C29" s="21"/>
    </row>
    <row r="30" spans="1:3" x14ac:dyDescent="0.2">
      <c r="A30" t="s">
        <v>781</v>
      </c>
      <c r="B30" s="240"/>
      <c r="C30" s="240" t="s">
        <v>287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87163.5</v>
      </c>
      <c r="C36" s="235">
        <f>'DOE25'!G200+'DOE25'!G218+'DOE25'!G236+'DOE25'!G279+'DOE25'!G298+'DOE25'!G317</f>
        <v>10837.85</v>
      </c>
    </row>
    <row r="37" spans="1:3" x14ac:dyDescent="0.2">
      <c r="A37" t="s">
        <v>779</v>
      </c>
      <c r="B37" s="240" t="s">
        <v>287</v>
      </c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87163.5</f>
        <v>87163.5</v>
      </c>
      <c r="C39" s="240">
        <f>6608.55+175.44+4053.86</f>
        <v>10837.85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87163.5</v>
      </c>
      <c r="C40" s="231">
        <f>SUM(C37:C39)</f>
        <v>10837.85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Mascoma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13509993.16</v>
      </c>
      <c r="D5" s="20">
        <f>SUM('DOE25'!L197:L200)+SUM('DOE25'!L215:L218)+SUM('DOE25'!L233:L236)-F5-G5</f>
        <v>13333234.890000001</v>
      </c>
      <c r="E5" s="243"/>
      <c r="F5" s="255">
        <f>SUM('DOE25'!J197:J200)+SUM('DOE25'!J215:J218)+SUM('DOE25'!J233:J236)</f>
        <v>161932.76999999999</v>
      </c>
      <c r="G5" s="53">
        <f>SUM('DOE25'!K197:K200)+SUM('DOE25'!K215:K218)+SUM('DOE25'!K233:K236)</f>
        <v>14825.5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1304302.7</v>
      </c>
      <c r="D6" s="20">
        <f>'DOE25'!L202+'DOE25'!L220+'DOE25'!L238-F6-G6</f>
        <v>1304182.7</v>
      </c>
      <c r="E6" s="243"/>
      <c r="F6" s="255">
        <f>'DOE25'!J202+'DOE25'!J220+'DOE25'!J238</f>
        <v>0</v>
      </c>
      <c r="G6" s="53">
        <f>'DOE25'!K202+'DOE25'!K220+'DOE25'!K238</f>
        <v>120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508076.39</v>
      </c>
      <c r="D7" s="20">
        <f>'DOE25'!L203+'DOE25'!L221+'DOE25'!L239-F7-G7</f>
        <v>498432.22000000003</v>
      </c>
      <c r="E7" s="243"/>
      <c r="F7" s="255">
        <f>'DOE25'!J203+'DOE25'!J221+'DOE25'!J239</f>
        <v>9644.17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911738.02</v>
      </c>
      <c r="D8" s="243"/>
      <c r="E8" s="20">
        <f>'DOE25'!L204+'DOE25'!L222+'DOE25'!L240-F8-G8-D9-D11</f>
        <v>903602.73</v>
      </c>
      <c r="F8" s="255">
        <f>'DOE25'!J204+'DOE25'!J222+'DOE25'!J240</f>
        <v>539.99</v>
      </c>
      <c r="G8" s="53">
        <f>'DOE25'!K204+'DOE25'!K222+'DOE25'!K240</f>
        <v>7595.3</v>
      </c>
      <c r="H8" s="259"/>
    </row>
    <row r="9" spans="1:9" x14ac:dyDescent="0.2">
      <c r="A9" s="32">
        <v>2310</v>
      </c>
      <c r="B9" t="s">
        <v>818</v>
      </c>
      <c r="C9" s="245">
        <f t="shared" si="0"/>
        <v>36826.629999999997</v>
      </c>
      <c r="D9" s="244">
        <v>36826.629999999997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23800</v>
      </c>
      <c r="D10" s="243"/>
      <c r="E10" s="244">
        <v>23800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219025.53</v>
      </c>
      <c r="D11" s="244">
        <v>219025.53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1288272.7499999998</v>
      </c>
      <c r="D12" s="20">
        <f>'DOE25'!L205+'DOE25'!L223+'DOE25'!L241-F12-G12</f>
        <v>1288272.7499999998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1825774.3900000001</v>
      </c>
      <c r="D14" s="20">
        <f>'DOE25'!L207+'DOE25'!L225+'DOE25'!L243-F14-G14</f>
        <v>1736451.7000000002</v>
      </c>
      <c r="E14" s="243"/>
      <c r="F14" s="255">
        <f>'DOE25'!J207+'DOE25'!J225+'DOE25'!J243</f>
        <v>89322.69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987436.65</v>
      </c>
      <c r="D15" s="20">
        <f>'DOE25'!L208+'DOE25'!L226+'DOE25'!L244-F15-G15</f>
        <v>987436.65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7498.33</v>
      </c>
      <c r="D16" s="243"/>
      <c r="E16" s="20">
        <f>'DOE25'!L209+'DOE25'!L227+'DOE25'!L245-F16-G16</f>
        <v>7498.33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1461788</v>
      </c>
      <c r="D22" s="243"/>
      <c r="E22" s="243"/>
      <c r="F22" s="255">
        <f>'DOE25'!L255+'DOE25'!L336</f>
        <v>1461788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49249.5</v>
      </c>
      <c r="D25" s="243"/>
      <c r="E25" s="243"/>
      <c r="F25" s="258"/>
      <c r="G25" s="256"/>
      <c r="H25" s="257">
        <f>'DOE25'!L260+'DOE25'!L261+'DOE25'!L341+'DOE25'!L342</f>
        <v>49249.5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414179.71</v>
      </c>
      <c r="D29" s="20">
        <f>'DOE25'!L358+'DOE25'!L359+'DOE25'!L360-'DOE25'!I367-F29-G29</f>
        <v>414179.71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823400.95</v>
      </c>
      <c r="D31" s="20">
        <f>'DOE25'!L290+'DOE25'!L309+'DOE25'!L328+'DOE25'!L333+'DOE25'!L334+'DOE25'!L335-F31-G31</f>
        <v>766591.80999999994</v>
      </c>
      <c r="E31" s="243"/>
      <c r="F31" s="255">
        <f>'DOE25'!J290+'DOE25'!J309+'DOE25'!J328+'DOE25'!J333+'DOE25'!J334+'DOE25'!J335</f>
        <v>49942.899999999994</v>
      </c>
      <c r="G31" s="53">
        <f>'DOE25'!K290+'DOE25'!K309+'DOE25'!K328+'DOE25'!K333+'DOE25'!K334+'DOE25'!K335</f>
        <v>6866.24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20584634.59</v>
      </c>
      <c r="E33" s="246">
        <f>SUM(E5:E31)</f>
        <v>934901.05999999994</v>
      </c>
      <c r="F33" s="246">
        <f>SUM(F5:F31)</f>
        <v>1773170.52</v>
      </c>
      <c r="G33" s="246">
        <f>SUM(G5:G31)</f>
        <v>29407.040000000001</v>
      </c>
      <c r="H33" s="246">
        <f>SUM(H5:H31)</f>
        <v>49249.5</v>
      </c>
    </row>
    <row r="35" spans="2:8" ht="12" thickBot="1" x14ac:dyDescent="0.25">
      <c r="B35" s="253" t="s">
        <v>847</v>
      </c>
      <c r="D35" s="254">
        <f>E33</f>
        <v>934901.05999999994</v>
      </c>
      <c r="E35" s="249"/>
    </row>
    <row r="36" spans="2:8" ht="12" thickTop="1" x14ac:dyDescent="0.2">
      <c r="B36" t="s">
        <v>815</v>
      </c>
      <c r="D36" s="20">
        <f>D33</f>
        <v>20584634.59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Mascoma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786687.62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-26775.43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672435.49</v>
      </c>
      <c r="H11" s="124"/>
      <c r="I11" s="124"/>
    </row>
    <row r="12" spans="1:9" x14ac:dyDescent="0.2">
      <c r="A12" s="1" t="s">
        <v>143</v>
      </c>
      <c r="B12" s="6">
        <v>140</v>
      </c>
      <c r="C12" s="95" t="str">
        <f>'DOE25'!F13</f>
        <v xml:space="preserve"> </v>
      </c>
      <c r="D12" s="95">
        <f>'DOE25'!H13</f>
        <v>112132.66</v>
      </c>
      <c r="E12" s="95" t="e">
        <f>'DOE25'!#REF!</f>
        <v>#REF!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53.08</v>
      </c>
      <c r="D13" s="95">
        <f>'DOE25'!G14</f>
        <v>9774.17</v>
      </c>
      <c r="E13" s="95">
        <f>'DOE25'!H14</f>
        <v>1400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759965.2699999999</v>
      </c>
      <c r="D18" s="41">
        <f>SUM(D8:D17)</f>
        <v>121906.83</v>
      </c>
      <c r="E18" s="41" t="e">
        <f>SUM(E8:E17)</f>
        <v>#REF!</v>
      </c>
      <c r="F18" s="41">
        <f>SUM(F8:F17)</f>
        <v>0</v>
      </c>
      <c r="G18" s="41">
        <f>SUM(G8:G17)</f>
        <v>672435.49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'DOE25'!H22</f>
        <v>-67788.51999999999</v>
      </c>
      <c r="E21" s="95" t="e">
        <f>'DOE25'!#REF!</f>
        <v>#REF!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29118.74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12499.49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7565.84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41618.230000000003</v>
      </c>
      <c r="D31" s="41">
        <f>SUM(D21:D30)</f>
        <v>-60222.679999999993</v>
      </c>
      <c r="E31" s="41" t="e">
        <f>SUM(E21:E30)</f>
        <v>#REF!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 t="str">
        <f>'DOE25'!F44</f>
        <v xml:space="preserve"> 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50000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327998.09999999998</v>
      </c>
      <c r="D47" s="95" t="str">
        <f>'DOE25'!G48</f>
        <v xml:space="preserve"> </v>
      </c>
      <c r="E47" s="95">
        <f>'DOE25'!H48</f>
        <v>0</v>
      </c>
      <c r="F47" s="95">
        <f>'DOE25'!I48</f>
        <v>0</v>
      </c>
      <c r="G47" s="95">
        <f>'DOE25'!J48</f>
        <v>672435.49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11.49</v>
      </c>
      <c r="E48" s="95">
        <f>'DOE25'!H49</f>
        <v>181321.18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340348.94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718347.04</v>
      </c>
      <c r="D50" s="41">
        <f>SUM(D34:D49)</f>
        <v>11.49</v>
      </c>
      <c r="E50" s="41">
        <f>SUM(E34:E49)</f>
        <v>181321.18</v>
      </c>
      <c r="F50" s="41">
        <f>SUM(F34:F49)</f>
        <v>0</v>
      </c>
      <c r="G50" s="41">
        <f>SUM(G34:G49)</f>
        <v>672435.49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759965.27</v>
      </c>
      <c r="D51" s="41">
        <f>D50+D31</f>
        <v>-60211.189999999995</v>
      </c>
      <c r="E51" s="41" t="e">
        <f>E50+E31</f>
        <v>#REF!</v>
      </c>
      <c r="F51" s="41">
        <f>F50+F31</f>
        <v>0</v>
      </c>
      <c r="G51" s="41">
        <f>G50+G31</f>
        <v>672435.49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13061147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122045.5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1280.97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169.81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211450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33229.369999999995</v>
      </c>
      <c r="D61" s="95">
        <f>SUM('DOE25'!G98:G110)</f>
        <v>0</v>
      </c>
      <c r="E61" s="95">
        <f>SUM('DOE25'!H98:H110)</f>
        <v>139079.37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34510.339999999997</v>
      </c>
      <c r="D62" s="130">
        <f>SUM(D57:D61)</f>
        <v>211450</v>
      </c>
      <c r="E62" s="130">
        <f>SUM(E57:E61)</f>
        <v>261124.87</v>
      </c>
      <c r="F62" s="130">
        <f>SUM(F57:F61)</f>
        <v>0</v>
      </c>
      <c r="G62" s="130">
        <f>SUM(G57:G61)</f>
        <v>169.81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13095657.34</v>
      </c>
      <c r="D63" s="22">
        <f>D56+D62</f>
        <v>211450</v>
      </c>
      <c r="E63" s="22">
        <f>E56+E62</f>
        <v>261124.87</v>
      </c>
      <c r="F63" s="22">
        <f>F56+F62</f>
        <v>0</v>
      </c>
      <c r="G63" s="22">
        <f>G56+G62</f>
        <v>169.81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4026475.29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2651630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6678105.29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63355.99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147591.57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5597.65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210947.56</v>
      </c>
      <c r="D78" s="130">
        <f>SUM(D72:D77)</f>
        <v>5597.65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6889052.8499999996</v>
      </c>
      <c r="D81" s="130">
        <f>SUM(D79:D80)+D78+D70</f>
        <v>5597.65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100025.26</v>
      </c>
      <c r="D88" s="95">
        <f>SUM('DOE25'!G153:G161)</f>
        <v>194348.09</v>
      </c>
      <c r="E88" s="95">
        <f>SUM('DOE25'!H153:H161)</f>
        <v>590003.72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3088.68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103113.93999999999</v>
      </c>
      <c r="D91" s="131">
        <f>SUM(D85:D90)</f>
        <v>194348.09</v>
      </c>
      <c r="E91" s="131">
        <f>SUM(E85:E90)</f>
        <v>590003.72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1461788</v>
      </c>
      <c r="F102" s="95">
        <f>SUM('DOE25'!I190:I191)</f>
        <v>1461788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1461788</v>
      </c>
      <c r="F103" s="86">
        <f>SUM(F93:F102)</f>
        <v>1461788</v>
      </c>
      <c r="G103" s="86">
        <f>SUM(G93:G102)</f>
        <v>25000</v>
      </c>
    </row>
    <row r="104" spans="1:7" ht="12.75" thickTop="1" thickBot="1" x14ac:dyDescent="0.25">
      <c r="A104" s="33" t="s">
        <v>765</v>
      </c>
      <c r="C104" s="86">
        <f>C63+C81+C91+C103</f>
        <v>20087824.129999999</v>
      </c>
      <c r="D104" s="86">
        <f>D63+D81+D91+D103</f>
        <v>411395.74</v>
      </c>
      <c r="E104" s="86">
        <f>E63+E81+E91+E103</f>
        <v>2312916.59</v>
      </c>
      <c r="F104" s="86">
        <f>F63+F81+F91+F103</f>
        <v>1461788</v>
      </c>
      <c r="G104" s="86">
        <f>G63+G81+G103</f>
        <v>25169.81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8717913.1600000001</v>
      </c>
      <c r="D109" s="24" t="s">
        <v>289</v>
      </c>
      <c r="E109" s="95">
        <f>('DOE25'!L276)+('DOE25'!L295)+('DOE25'!L314)</f>
        <v>530454.80000000005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4200556.6100000003</v>
      </c>
      <c r="D110" s="24" t="s">
        <v>289</v>
      </c>
      <c r="E110" s="95">
        <f>('DOE25'!L277)+('DOE25'!L296)+('DOE25'!L315)</f>
        <v>243621.52000000002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388408.73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203114.66000000003</v>
      </c>
      <c r="D112" s="24" t="s">
        <v>289</v>
      </c>
      <c r="E112" s="95">
        <f>+('DOE25'!L279)+('DOE25'!L298)+('DOE25'!L317)</f>
        <v>5946.03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13509993.16</v>
      </c>
      <c r="D115" s="86">
        <f>SUM(D109:D114)</f>
        <v>0</v>
      </c>
      <c r="E115" s="86">
        <f>SUM(E109:E114)</f>
        <v>780022.35000000009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1304302.7</v>
      </c>
      <c r="D118" s="24" t="s">
        <v>289</v>
      </c>
      <c r="E118" s="95">
        <f>+('DOE25'!L281)+('DOE25'!L300)+('DOE25'!L319)</f>
        <v>39993.75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508076.39</v>
      </c>
      <c r="D119" s="24" t="s">
        <v>289</v>
      </c>
      <c r="E119" s="95">
        <f>+('DOE25'!L282)+('DOE25'!L301)+('DOE25'!L320)</f>
        <v>3384.8500000000004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1167590.18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1288272.7499999998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1825774.3900000001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987436.65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7498.33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414179.71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7088951.3900000006</v>
      </c>
      <c r="D128" s="86">
        <f>SUM(D118:D127)</f>
        <v>414179.71</v>
      </c>
      <c r="E128" s="86">
        <f>SUM(E118:E127)</f>
        <v>43378.6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1461788</v>
      </c>
      <c r="F130" s="129">
        <f>SUM('DOE25'!L374:'DOE25'!L380)</f>
        <v>1461788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23679.27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25570.23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169.81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-169.81000000000131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74249.5</v>
      </c>
      <c r="D144" s="141">
        <f>SUM(D130:D143)</f>
        <v>0</v>
      </c>
      <c r="E144" s="141">
        <f>SUM(E130:E143)</f>
        <v>1461788</v>
      </c>
      <c r="F144" s="141">
        <f>SUM(F130:F143)</f>
        <v>1461788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20673194.050000001</v>
      </c>
      <c r="D145" s="86">
        <f>(D115+D128+D144)</f>
        <v>414179.71</v>
      </c>
      <c r="E145" s="86">
        <f>(E115+E128+E144)</f>
        <v>2285188.9500000002</v>
      </c>
      <c r="F145" s="86">
        <f>(F115+F128+F144)</f>
        <v>1461788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25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5/2013</v>
      </c>
      <c r="C152" s="152" t="str">
        <f>'DOE25'!G491</f>
        <v>6/12/14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11/2028</v>
      </c>
      <c r="C153" s="152" t="str">
        <f>'DOE25'!G492</f>
        <v>12/12/39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2012334</v>
      </c>
      <c r="C154" s="137">
        <f>'DOE25'!G493</f>
        <v>4150000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2.59</v>
      </c>
      <c r="C155" s="137">
        <f>'DOE25'!G494</f>
        <v>3.01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2012334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2012334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23679.27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23679.27</v>
      </c>
    </row>
    <row r="159" spans="1:9" x14ac:dyDescent="0.2">
      <c r="A159" s="22" t="s">
        <v>35</v>
      </c>
      <c r="B159" s="137">
        <f>'DOE25'!F498</f>
        <v>1988654.73</v>
      </c>
      <c r="C159" s="137">
        <f>'DOE25'!G498</f>
        <v>4150000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6138654.7300000004</v>
      </c>
    </row>
    <row r="160" spans="1:9" x14ac:dyDescent="0.2">
      <c r="A160" s="22" t="s">
        <v>36</v>
      </c>
      <c r="B160" s="137">
        <f>'DOE25'!F499</f>
        <v>484124.21</v>
      </c>
      <c r="C160" s="137">
        <f>'DOE25'!G499</f>
        <v>1767939.52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2252063.73</v>
      </c>
    </row>
    <row r="161" spans="1:7" x14ac:dyDescent="0.2">
      <c r="A161" s="22" t="s">
        <v>37</v>
      </c>
      <c r="B161" s="137">
        <f>'DOE25'!F500</f>
        <v>2472778.94</v>
      </c>
      <c r="C161" s="137">
        <f>'DOE25'!G500</f>
        <v>5917939.5199999996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8390718.459999999</v>
      </c>
    </row>
    <row r="162" spans="1:7" x14ac:dyDescent="0.2">
      <c r="A162" s="22" t="s">
        <v>38</v>
      </c>
      <c r="B162" s="137">
        <f>'DOE25'!F501</f>
        <v>75123.61</v>
      </c>
      <c r="C162" s="137">
        <f>'DOE25'!G501</f>
        <v>56563.519999999997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131687.13</v>
      </c>
    </row>
    <row r="163" spans="1:7" x14ac:dyDescent="0.2">
      <c r="A163" s="22" t="s">
        <v>39</v>
      </c>
      <c r="B163" s="137">
        <f>'DOE25'!F502</f>
        <v>51740.89</v>
      </c>
      <c r="C163" s="137">
        <f>'DOE25'!G502</f>
        <v>92697.88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144438.77000000002</v>
      </c>
    </row>
    <row r="164" spans="1:7" x14ac:dyDescent="0.2">
      <c r="A164" s="22" t="s">
        <v>246</v>
      </c>
      <c r="B164" s="137">
        <f>'DOE25'!F503</f>
        <v>126864.5</v>
      </c>
      <c r="C164" s="137">
        <f>'DOE25'!G503</f>
        <v>149261.4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276125.90000000002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D6" sqref="D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Mascoma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15583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17143</v>
      </c>
    </row>
    <row r="7" spans="1:4" x14ac:dyDescent="0.2">
      <c r="B7" t="s">
        <v>705</v>
      </c>
      <c r="C7" s="179">
        <f>IF('DOE25'!I665+'DOE25'!I670=0,0,ROUND('DOE25'!I672,0))</f>
        <v>16056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9248368</v>
      </c>
      <c r="D10" s="182">
        <f>ROUND((C10/$C$28)*100,1)</f>
        <v>42.7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4444178</v>
      </c>
      <c r="D11" s="182">
        <f>ROUND((C11/$C$28)*100,1)</f>
        <v>20.5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388409</v>
      </c>
      <c r="D12" s="182">
        <f>ROUND((C12/$C$28)*100,1)</f>
        <v>1.8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209061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1344296</v>
      </c>
      <c r="D15" s="182">
        <f t="shared" ref="D15:D27" si="0">ROUND((C15/$C$28)*100,1)</f>
        <v>6.2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511461</v>
      </c>
      <c r="D16" s="182">
        <f t="shared" si="0"/>
        <v>2.4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1175089</v>
      </c>
      <c r="D17" s="182">
        <f t="shared" si="0"/>
        <v>5.4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1288273</v>
      </c>
      <c r="D18" s="182">
        <f t="shared" si="0"/>
        <v>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1825774</v>
      </c>
      <c r="D20" s="182">
        <f t="shared" si="0"/>
        <v>8.4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987437</v>
      </c>
      <c r="D21" s="182">
        <f t="shared" si="0"/>
        <v>4.5999999999999996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25570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202730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21650646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2923576</v>
      </c>
    </row>
    <row r="30" spans="1:4" x14ac:dyDescent="0.2">
      <c r="B30" s="187" t="s">
        <v>729</v>
      </c>
      <c r="C30" s="180">
        <f>SUM(C28:C29)</f>
        <v>24574222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23679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13061147</v>
      </c>
      <c r="D35" s="182">
        <f t="shared" ref="D35:D40" si="1">ROUND((C35/$C$41)*100,1)</f>
        <v>54.3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295805.01999999955</v>
      </c>
      <c r="D36" s="182">
        <f t="shared" si="1"/>
        <v>1.2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6678105</v>
      </c>
      <c r="D37" s="182">
        <f t="shared" si="1"/>
        <v>27.8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216545</v>
      </c>
      <c r="D38" s="182">
        <f t="shared" si="1"/>
        <v>0.9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887466</v>
      </c>
      <c r="D39" s="182">
        <f t="shared" si="1"/>
        <v>3.7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2923576</v>
      </c>
      <c r="D40" s="182">
        <f t="shared" si="1"/>
        <v>12.1</v>
      </c>
    </row>
    <row r="41" spans="1:4" x14ac:dyDescent="0.2">
      <c r="B41" s="187" t="s">
        <v>736</v>
      </c>
      <c r="C41" s="180">
        <f>SUM(C35:C40)</f>
        <v>24062644.02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Mascoma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 t="s">
        <v>915</v>
      </c>
      <c r="B4" s="219"/>
      <c r="C4" s="284" t="s">
        <v>916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 t="s">
        <v>917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2014-09-05T17:22:15Z</cp:lastPrinted>
  <dcterms:created xsi:type="dcterms:W3CDTF">1997-12-04T19:04:30Z</dcterms:created>
  <dcterms:modified xsi:type="dcterms:W3CDTF">2014-12-05T16:35:31Z</dcterms:modified>
</cp:coreProperties>
</file>