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300" yWindow="105" windowWidth="17475" windowHeight="65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20" i="12" l="1"/>
  <c r="B22" i="12"/>
  <c r="B19" i="12"/>
  <c r="H154" i="1"/>
  <c r="H472" i="1"/>
  <c r="H495" i="1"/>
  <c r="D156" i="2"/>
  <c r="G495" i="1"/>
  <c r="C156" i="2" s="1"/>
  <c r="F495" i="1"/>
  <c r="G12" i="13"/>
  <c r="H155" i="1"/>
  <c r="H162" i="1" s="1"/>
  <c r="H169" i="1" s="1"/>
  <c r="H159" i="1"/>
  <c r="F233" i="1"/>
  <c r="H468" i="1"/>
  <c r="H14" i="1"/>
  <c r="E13" i="2"/>
  <c r="H633" i="1"/>
  <c r="J591" i="1"/>
  <c r="I591" i="1"/>
  <c r="H591" i="1"/>
  <c r="H598" i="1"/>
  <c r="H649" i="1"/>
  <c r="F663" i="1"/>
  <c r="I575" i="1"/>
  <c r="F315" i="1"/>
  <c r="H389" i="1"/>
  <c r="H396" i="1"/>
  <c r="H392" i="1"/>
  <c r="L392" i="1" s="1"/>
  <c r="F465" i="1"/>
  <c r="F48" i="1"/>
  <c r="K261" i="1"/>
  <c r="L261" i="1"/>
  <c r="F101" i="1"/>
  <c r="F215" i="1"/>
  <c r="L215" i="1" s="1"/>
  <c r="C49" i="2"/>
  <c r="G229" i="1"/>
  <c r="C9" i="12"/>
  <c r="F251" i="1"/>
  <c r="L251" i="1"/>
  <c r="D17" i="13" s="1"/>
  <c r="C17" i="13" s="1"/>
  <c r="F216" i="1"/>
  <c r="F68" i="1"/>
  <c r="F79" i="1"/>
  <c r="C57" i="2"/>
  <c r="C62" i="2" s="1"/>
  <c r="C63" i="2" s="1"/>
  <c r="F162" i="1"/>
  <c r="C13" i="2"/>
  <c r="C48" i="2"/>
  <c r="F296" i="1"/>
  <c r="F295" i="1"/>
  <c r="L295" i="1"/>
  <c r="L315" i="1"/>
  <c r="F277" i="1"/>
  <c r="B18" i="12" s="1"/>
  <c r="A22" i="12" s="1"/>
  <c r="F276" i="1"/>
  <c r="C45" i="2"/>
  <c r="G51" i="1"/>
  <c r="G623" i="1"/>
  <c r="C37" i="10"/>
  <c r="F40" i="2"/>
  <c r="D39" i="2"/>
  <c r="G655" i="1"/>
  <c r="J655" i="1" s="1"/>
  <c r="F48" i="2"/>
  <c r="E48" i="2"/>
  <c r="D48" i="2"/>
  <c r="F47" i="2"/>
  <c r="E47" i="2"/>
  <c r="D47" i="2"/>
  <c r="F44" i="2"/>
  <c r="E44" i="2"/>
  <c r="D44" i="2"/>
  <c r="C44" i="2"/>
  <c r="F43" i="2"/>
  <c r="E43" i="2"/>
  <c r="D43" i="2"/>
  <c r="C43" i="2"/>
  <c r="F42" i="2"/>
  <c r="E42" i="2"/>
  <c r="D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/>
  <c r="G38" i="2"/>
  <c r="C68" i="2"/>
  <c r="B2" i="13"/>
  <c r="F8" i="13"/>
  <c r="G8" i="13"/>
  <c r="E8" i="13" s="1"/>
  <c r="L204" i="1"/>
  <c r="L222" i="1"/>
  <c r="L240" i="1"/>
  <c r="D39" i="13"/>
  <c r="F13" i="13"/>
  <c r="G13" i="13"/>
  <c r="L206" i="1"/>
  <c r="L224" i="1"/>
  <c r="E13" i="13" s="1"/>
  <c r="L242" i="1"/>
  <c r="F16" i="13"/>
  <c r="G16" i="13"/>
  <c r="L209" i="1"/>
  <c r="L227" i="1"/>
  <c r="L245" i="1"/>
  <c r="F5" i="13"/>
  <c r="G5" i="13"/>
  <c r="G33" i="13" s="1"/>
  <c r="L197" i="1"/>
  <c r="L198" i="1"/>
  <c r="L199" i="1"/>
  <c r="L200" i="1"/>
  <c r="C112" i="2" s="1"/>
  <c r="L217" i="1"/>
  <c r="L218" i="1"/>
  <c r="L234" i="1"/>
  <c r="L235" i="1"/>
  <c r="C111" i="2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L205" i="1"/>
  <c r="L223" i="1"/>
  <c r="L241" i="1"/>
  <c r="F14" i="13"/>
  <c r="G14" i="13"/>
  <c r="L207" i="1"/>
  <c r="D14" i="13" s="1"/>
  <c r="C14" i="13" s="1"/>
  <c r="L225" i="1"/>
  <c r="C123" i="2" s="1"/>
  <c r="L243" i="1"/>
  <c r="F15" i="13"/>
  <c r="G15" i="13"/>
  <c r="L208" i="1"/>
  <c r="L226" i="1"/>
  <c r="G650" i="1"/>
  <c r="L244" i="1"/>
  <c r="F17" i="13"/>
  <c r="G17" i="13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I369" i="1" s="1"/>
  <c r="H634" i="1" s="1"/>
  <c r="J634" i="1" s="1"/>
  <c r="J290" i="1"/>
  <c r="J309" i="1"/>
  <c r="J328" i="1"/>
  <c r="K290" i="1"/>
  <c r="G31" i="13" s="1"/>
  <c r="K309" i="1"/>
  <c r="K328" i="1"/>
  <c r="L276" i="1"/>
  <c r="L278" i="1"/>
  <c r="E111" i="2" s="1"/>
  <c r="L279" i="1"/>
  <c r="L281" i="1"/>
  <c r="L282" i="1"/>
  <c r="L283" i="1"/>
  <c r="L284" i="1"/>
  <c r="L285" i="1"/>
  <c r="L286" i="1"/>
  <c r="L287" i="1"/>
  <c r="E124" i="2" s="1"/>
  <c r="L288" i="1"/>
  <c r="E125" i="2" s="1"/>
  <c r="L296" i="1"/>
  <c r="L297" i="1"/>
  <c r="L298" i="1"/>
  <c r="L300" i="1"/>
  <c r="E118" i="2" s="1"/>
  <c r="L301" i="1"/>
  <c r="L302" i="1"/>
  <c r="E120" i="2" s="1"/>
  <c r="L303" i="1"/>
  <c r="L304" i="1"/>
  <c r="L305" i="1"/>
  <c r="L306" i="1"/>
  <c r="L307" i="1"/>
  <c r="L314" i="1"/>
  <c r="L316" i="1"/>
  <c r="L317" i="1"/>
  <c r="L319" i="1"/>
  <c r="L320" i="1"/>
  <c r="L321" i="1"/>
  <c r="L322" i="1"/>
  <c r="L323" i="1"/>
  <c r="L324" i="1"/>
  <c r="E123" i="2" s="1"/>
  <c r="L325" i="1"/>
  <c r="L326" i="1"/>
  <c r="L333" i="1"/>
  <c r="E114" i="2" s="1"/>
  <c r="L334" i="1"/>
  <c r="L335" i="1"/>
  <c r="L260" i="1"/>
  <c r="L341" i="1"/>
  <c r="H25" i="13" s="1"/>
  <c r="L342" i="1"/>
  <c r="E132" i="2"/>
  <c r="L255" i="1"/>
  <c r="L336" i="1"/>
  <c r="F22" i="13" s="1"/>
  <c r="F33" i="13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A31" i="12" s="1"/>
  <c r="B31" i="12"/>
  <c r="C31" i="12"/>
  <c r="B13" i="12"/>
  <c r="C13" i="12"/>
  <c r="C18" i="12"/>
  <c r="C22" i="12"/>
  <c r="B1" i="12"/>
  <c r="L387" i="1"/>
  <c r="L388" i="1"/>
  <c r="L393" i="1" s="1"/>
  <c r="C138" i="2" s="1"/>
  <c r="L389" i="1"/>
  <c r="L390" i="1"/>
  <c r="L391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/>
  <c r="G61" i="2"/>
  <c r="F2" i="11"/>
  <c r="L613" i="1"/>
  <c r="H663" i="1"/>
  <c r="L612" i="1"/>
  <c r="G663" i="1"/>
  <c r="L611" i="1"/>
  <c r="C40" i="10"/>
  <c r="F60" i="1"/>
  <c r="C56" i="2" s="1"/>
  <c r="G60" i="1"/>
  <c r="H60" i="1"/>
  <c r="I60" i="1"/>
  <c r="F94" i="1"/>
  <c r="G111" i="1"/>
  <c r="H79" i="1"/>
  <c r="H94" i="1"/>
  <c r="H111" i="1"/>
  <c r="I111" i="1"/>
  <c r="J111" i="1"/>
  <c r="J112" i="1" s="1"/>
  <c r="F121" i="1"/>
  <c r="F140" i="1" s="1"/>
  <c r="C38" i="10" s="1"/>
  <c r="F136" i="1"/>
  <c r="G121" i="1"/>
  <c r="G136" i="1"/>
  <c r="G140" i="1"/>
  <c r="G193" i="1" s="1"/>
  <c r="G628" i="1" s="1"/>
  <c r="J628" i="1" s="1"/>
  <c r="H121" i="1"/>
  <c r="H140" i="1" s="1"/>
  <c r="H136" i="1"/>
  <c r="I121" i="1"/>
  <c r="I140" i="1"/>
  <c r="I136" i="1"/>
  <c r="J121" i="1"/>
  <c r="J136" i="1"/>
  <c r="F147" i="1"/>
  <c r="F169" i="1" s="1"/>
  <c r="G147" i="1"/>
  <c r="G162" i="1"/>
  <c r="H147" i="1"/>
  <c r="I147" i="1"/>
  <c r="F85" i="2" s="1"/>
  <c r="I162" i="1"/>
  <c r="L250" i="1"/>
  <c r="C113" i="2" s="1"/>
  <c r="L332" i="1"/>
  <c r="C23" i="10" s="1"/>
  <c r="L254" i="1"/>
  <c r="L268" i="1"/>
  <c r="L269" i="1"/>
  <c r="L349" i="1"/>
  <c r="E142" i="2" s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K549" i="1" s="1"/>
  <c r="L522" i="1"/>
  <c r="L523" i="1"/>
  <c r="F551" i="1" s="1"/>
  <c r="L526" i="1"/>
  <c r="L529" i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L537" i="1"/>
  <c r="I550" i="1" s="1"/>
  <c r="L538" i="1"/>
  <c r="I551" i="1" s="1"/>
  <c r="K551" i="1" s="1"/>
  <c r="L541" i="1"/>
  <c r="J549" i="1" s="1"/>
  <c r="L542" i="1"/>
  <c r="J550" i="1" s="1"/>
  <c r="L543" i="1"/>
  <c r="J551" i="1" s="1"/>
  <c r="E131" i="2"/>
  <c r="J270" i="1"/>
  <c r="I270" i="1"/>
  <c r="H270" i="1"/>
  <c r="G270" i="1"/>
  <c r="L270" i="1" s="1"/>
  <c r="F270" i="1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C10" i="2"/>
  <c r="C11" i="2"/>
  <c r="D11" i="2"/>
  <c r="E11" i="2"/>
  <c r="F11" i="2"/>
  <c r="I441" i="1"/>
  <c r="J12" i="1" s="1"/>
  <c r="G11" i="2"/>
  <c r="C12" i="2"/>
  <c r="D12" i="2"/>
  <c r="E12" i="2"/>
  <c r="F12" i="2"/>
  <c r="I442" i="1"/>
  <c r="J13" i="1" s="1"/>
  <c r="D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/>
  <c r="C17" i="2"/>
  <c r="D17" i="2"/>
  <c r="E17" i="2"/>
  <c r="F17" i="2"/>
  <c r="I445" i="1"/>
  <c r="J18" i="1"/>
  <c r="G17" i="2" s="1"/>
  <c r="C21" i="2"/>
  <c r="C31" i="2" s="1"/>
  <c r="D21" i="2"/>
  <c r="E21" i="2"/>
  <c r="E31" i="2" s="1"/>
  <c r="F21" i="2"/>
  <c r="I448" i="1"/>
  <c r="J22" i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C34" i="2"/>
  <c r="D34" i="2"/>
  <c r="D50" i="2" s="1"/>
  <c r="E34" i="2"/>
  <c r="F34" i="2"/>
  <c r="F50" i="2" s="1"/>
  <c r="F51" i="2" s="1"/>
  <c r="C35" i="2"/>
  <c r="D35" i="2"/>
  <c r="E35" i="2"/>
  <c r="F35" i="2"/>
  <c r="I454" i="1"/>
  <c r="J49" i="1" s="1"/>
  <c r="G48" i="2" s="1"/>
  <c r="I456" i="1"/>
  <c r="I457" i="1"/>
  <c r="J37" i="1" s="1"/>
  <c r="G36" i="2" s="1"/>
  <c r="I459" i="1"/>
  <c r="I460" i="1"/>
  <c r="E56" i="2"/>
  <c r="C58" i="2"/>
  <c r="C59" i="2"/>
  <c r="D59" i="2"/>
  <c r="D62" i="2" s="1"/>
  <c r="E59" i="2"/>
  <c r="F59" i="2"/>
  <c r="D60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C77" i="2"/>
  <c r="D77" i="2"/>
  <c r="D78" i="2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D91" i="2" s="1"/>
  <c r="C87" i="2"/>
  <c r="E87" i="2"/>
  <c r="F87" i="2"/>
  <c r="C88" i="2"/>
  <c r="C91" i="2" s="1"/>
  <c r="D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E122" i="2"/>
  <c r="F128" i="2"/>
  <c r="G128" i="2"/>
  <c r="F134" i="2"/>
  <c r="D134" i="2"/>
  <c r="D144" i="2" s="1"/>
  <c r="K419" i="1"/>
  <c r="K427" i="1"/>
  <c r="K433" i="1"/>
  <c r="L263" i="1"/>
  <c r="C135" i="2" s="1"/>
  <c r="E135" i="2"/>
  <c r="L264" i="1"/>
  <c r="C136" i="2" s="1"/>
  <c r="L265" i="1"/>
  <c r="C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G160" i="2" s="1"/>
  <c r="F500" i="1"/>
  <c r="G500" i="1"/>
  <c r="C161" i="2" s="1"/>
  <c r="H500" i="1"/>
  <c r="I500" i="1"/>
  <c r="E161" i="2" s="1"/>
  <c r="J500" i="1"/>
  <c r="F161" i="2" s="1"/>
  <c r="B162" i="2"/>
  <c r="C162" i="2"/>
  <c r="D162" i="2"/>
  <c r="G162" i="2" s="1"/>
  <c r="E162" i="2"/>
  <c r="F162" i="2"/>
  <c r="B163" i="2"/>
  <c r="C163" i="2"/>
  <c r="G163" i="2" s="1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G19" i="1"/>
  <c r="G618" i="1"/>
  <c r="H19" i="1"/>
  <c r="G619" i="1"/>
  <c r="I19" i="1"/>
  <c r="F32" i="1"/>
  <c r="G32" i="1"/>
  <c r="H32" i="1"/>
  <c r="I32" i="1"/>
  <c r="H51" i="1"/>
  <c r="H52" i="1" s="1"/>
  <c r="H619" i="1" s="1"/>
  <c r="I51" i="1"/>
  <c r="I52" i="1"/>
  <c r="H620" i="1" s="1"/>
  <c r="F177" i="1"/>
  <c r="I177" i="1"/>
  <c r="F183" i="1"/>
  <c r="G183" i="1"/>
  <c r="H183" i="1"/>
  <c r="H192" i="1"/>
  <c r="I183" i="1"/>
  <c r="J183" i="1"/>
  <c r="G645" i="1" s="1"/>
  <c r="J645" i="1" s="1"/>
  <c r="F188" i="1"/>
  <c r="G188" i="1"/>
  <c r="G192" i="1"/>
  <c r="H188" i="1"/>
  <c r="I188" i="1"/>
  <c r="F211" i="1"/>
  <c r="G211" i="1"/>
  <c r="H211" i="1"/>
  <c r="I211" i="1"/>
  <c r="I257" i="1" s="1"/>
  <c r="I271" i="1" s="1"/>
  <c r="J211" i="1"/>
  <c r="K211" i="1"/>
  <c r="H229" i="1"/>
  <c r="I229" i="1"/>
  <c r="J229" i="1"/>
  <c r="K229" i="1"/>
  <c r="G247" i="1"/>
  <c r="H247" i="1"/>
  <c r="I247" i="1"/>
  <c r="J247" i="1"/>
  <c r="K247" i="1"/>
  <c r="G256" i="1"/>
  <c r="H256" i="1"/>
  <c r="I256" i="1"/>
  <c r="J256" i="1"/>
  <c r="J257" i="1" s="1"/>
  <c r="J271" i="1" s="1"/>
  <c r="K256" i="1"/>
  <c r="G290" i="1"/>
  <c r="G309" i="1" s="1"/>
  <c r="H290" i="1"/>
  <c r="H309" i="1" s="1"/>
  <c r="I290" i="1"/>
  <c r="I309" i="1" s="1"/>
  <c r="F328" i="1"/>
  <c r="G328" i="1"/>
  <c r="H328" i="1"/>
  <c r="I328" i="1"/>
  <c r="F337" i="1"/>
  <c r="G337" i="1"/>
  <c r="H337" i="1"/>
  <c r="I337" i="1"/>
  <c r="J337" i="1"/>
  <c r="J338" i="1" s="1"/>
  <c r="K337" i="1"/>
  <c r="F362" i="1"/>
  <c r="G362" i="1"/>
  <c r="H362" i="1"/>
  <c r="I362" i="1"/>
  <c r="G634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407" i="1"/>
  <c r="I407" i="1"/>
  <c r="I408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34" i="1" s="1"/>
  <c r="G638" i="1" s="1"/>
  <c r="J638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F434" i="1" s="1"/>
  <c r="G433" i="1"/>
  <c r="H433" i="1"/>
  <c r="I433" i="1"/>
  <c r="J433" i="1"/>
  <c r="F446" i="1"/>
  <c r="G639" i="1"/>
  <c r="G446" i="1"/>
  <c r="H446" i="1"/>
  <c r="G641" i="1" s="1"/>
  <c r="J641" i="1" s="1"/>
  <c r="F452" i="1"/>
  <c r="G452" i="1"/>
  <c r="H452" i="1"/>
  <c r="H461" i="1" s="1"/>
  <c r="H641" i="1" s="1"/>
  <c r="F460" i="1"/>
  <c r="G460" i="1"/>
  <c r="H460" i="1"/>
  <c r="F470" i="1"/>
  <c r="F476" i="1" s="1"/>
  <c r="H622" i="1" s="1"/>
  <c r="G470" i="1"/>
  <c r="H470" i="1"/>
  <c r="I470" i="1"/>
  <c r="J470" i="1"/>
  <c r="J476" i="1"/>
  <c r="H626" i="1" s="1"/>
  <c r="F474" i="1"/>
  <c r="G474" i="1"/>
  <c r="I474" i="1"/>
  <c r="I476" i="1"/>
  <c r="H625" i="1" s="1"/>
  <c r="J474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I560" i="1"/>
  <c r="J560" i="1"/>
  <c r="K560" i="1"/>
  <c r="L562" i="1"/>
  <c r="L563" i="1"/>
  <c r="L564" i="1"/>
  <c r="L565" i="1" s="1"/>
  <c r="F565" i="1"/>
  <c r="G565" i="1"/>
  <c r="H565" i="1"/>
  <c r="I565" i="1"/>
  <c r="J565" i="1"/>
  <c r="K565" i="1"/>
  <c r="L567" i="1"/>
  <c r="L568" i="1"/>
  <c r="L570" i="1" s="1"/>
  <c r="L571" i="1" s="1"/>
  <c r="L569" i="1"/>
  <c r="F570" i="1"/>
  <c r="G570" i="1"/>
  <c r="G571" i="1"/>
  <c r="H570" i="1"/>
  <c r="I570" i="1"/>
  <c r="J570" i="1"/>
  <c r="K570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2" i="1"/>
  <c r="K593" i="1"/>
  <c r="K594" i="1"/>
  <c r="K595" i="1"/>
  <c r="K596" i="1"/>
  <c r="K597" i="1"/>
  <c r="I598" i="1"/>
  <c r="H650" i="1" s="1"/>
  <c r="J650" i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H627" i="1"/>
  <c r="H628" i="1"/>
  <c r="H629" i="1"/>
  <c r="H630" i="1"/>
  <c r="H631" i="1"/>
  <c r="H632" i="1"/>
  <c r="H635" i="1"/>
  <c r="H636" i="1"/>
  <c r="H637" i="1"/>
  <c r="H638" i="1"/>
  <c r="G640" i="1"/>
  <c r="G643" i="1"/>
  <c r="G644" i="1"/>
  <c r="H645" i="1"/>
  <c r="G651" i="1"/>
  <c r="G652" i="1"/>
  <c r="H652" i="1"/>
  <c r="J652" i="1"/>
  <c r="G653" i="1"/>
  <c r="H653" i="1"/>
  <c r="G654" i="1"/>
  <c r="H654" i="1"/>
  <c r="H655" i="1"/>
  <c r="K257" i="1"/>
  <c r="E33" i="13"/>
  <c r="D35" i="13" s="1"/>
  <c r="E78" i="2"/>
  <c r="L419" i="1"/>
  <c r="I169" i="1"/>
  <c r="E16" i="13"/>
  <c r="C16" i="13" s="1"/>
  <c r="F62" i="2"/>
  <c r="C103" i="2"/>
  <c r="I338" i="1"/>
  <c r="I352" i="1" s="1"/>
  <c r="L407" i="1"/>
  <c r="C140" i="2"/>
  <c r="J654" i="1"/>
  <c r="F31" i="13"/>
  <c r="G169" i="1"/>
  <c r="G338" i="1"/>
  <c r="G352" i="1" s="1"/>
  <c r="J10" i="1"/>
  <c r="L614" i="1"/>
  <c r="D18" i="2"/>
  <c r="K338" i="1"/>
  <c r="K352" i="1" s="1"/>
  <c r="L362" i="1"/>
  <c r="F661" i="1"/>
  <c r="D127" i="2"/>
  <c r="D128" i="2" s="1"/>
  <c r="D145" i="2" s="1"/>
  <c r="C19" i="10"/>
  <c r="C122" i="2"/>
  <c r="C13" i="13"/>
  <c r="C17" i="10"/>
  <c r="C120" i="2"/>
  <c r="B161" i="2"/>
  <c r="E57" i="2"/>
  <c r="F130" i="2"/>
  <c r="F144" i="2" s="1"/>
  <c r="F145" i="2" s="1"/>
  <c r="L382" i="1"/>
  <c r="G636" i="1"/>
  <c r="J636" i="1" s="1"/>
  <c r="H661" i="1"/>
  <c r="C27" i="10"/>
  <c r="G635" i="1"/>
  <c r="J635" i="1" s="1"/>
  <c r="G9" i="2"/>
  <c r="L233" i="1"/>
  <c r="F247" i="1"/>
  <c r="F257" i="1" s="1"/>
  <c r="F271" i="1" s="1"/>
  <c r="C42" i="2"/>
  <c r="F19" i="1"/>
  <c r="G617" i="1" s="1"/>
  <c r="F256" i="1"/>
  <c r="L256" i="1" s="1"/>
  <c r="C10" i="10"/>
  <c r="C109" i="2"/>
  <c r="K270" i="1"/>
  <c r="K271" i="1"/>
  <c r="B9" i="12"/>
  <c r="A13" i="12" s="1"/>
  <c r="C125" i="2"/>
  <c r="C119" i="2"/>
  <c r="E85" i="2"/>
  <c r="F111" i="1"/>
  <c r="F112" i="1" s="1"/>
  <c r="C61" i="2"/>
  <c r="C21" i="10"/>
  <c r="C8" i="13"/>
  <c r="C130" i="2"/>
  <c r="C131" i="2"/>
  <c r="C32" i="10"/>
  <c r="G662" i="1"/>
  <c r="E121" i="2"/>
  <c r="E112" i="2"/>
  <c r="D19" i="13"/>
  <c r="C19" i="13"/>
  <c r="F662" i="1"/>
  <c r="I662" i="1"/>
  <c r="H647" i="1"/>
  <c r="C124" i="2"/>
  <c r="G649" i="1"/>
  <c r="J649" i="1" s="1"/>
  <c r="D15" i="13"/>
  <c r="C15" i="13" s="1"/>
  <c r="C16" i="10"/>
  <c r="D7" i="13"/>
  <c r="C7" i="13"/>
  <c r="D6" i="13"/>
  <c r="C6" i="13"/>
  <c r="C118" i="2"/>
  <c r="J43" i="1"/>
  <c r="L433" i="1"/>
  <c r="I434" i="1"/>
  <c r="D103" i="2"/>
  <c r="C70" i="2"/>
  <c r="L216" i="1"/>
  <c r="G549" i="1"/>
  <c r="G552" i="1" s="1"/>
  <c r="E58" i="2"/>
  <c r="E62" i="2"/>
  <c r="E63" i="2" s="1"/>
  <c r="J640" i="1"/>
  <c r="H257" i="1"/>
  <c r="H271" i="1"/>
  <c r="I192" i="1"/>
  <c r="G21" i="2"/>
  <c r="I549" i="1"/>
  <c r="E134" i="2"/>
  <c r="L211" i="1"/>
  <c r="G112" i="1"/>
  <c r="D56" i="2"/>
  <c r="C24" i="10"/>
  <c r="G461" i="1"/>
  <c r="H640" i="1"/>
  <c r="G434" i="1"/>
  <c r="K434" i="1"/>
  <c r="G134" i="2" s="1"/>
  <c r="G144" i="2" s="1"/>
  <c r="G145" i="2" s="1"/>
  <c r="J140" i="1"/>
  <c r="C13" i="10"/>
  <c r="F229" i="1"/>
  <c r="E81" i="2"/>
  <c r="J571" i="1"/>
  <c r="J545" i="1"/>
  <c r="F461" i="1"/>
  <c r="H639" i="1"/>
  <c r="J639" i="1" s="1"/>
  <c r="F103" i="2"/>
  <c r="F31" i="2"/>
  <c r="F91" i="2"/>
  <c r="L309" i="1"/>
  <c r="C110" i="2"/>
  <c r="D5" i="13"/>
  <c r="L229" i="1"/>
  <c r="G660" i="1" s="1"/>
  <c r="G42" i="2"/>
  <c r="J48" i="1"/>
  <c r="J19" i="1"/>
  <c r="G621" i="1" s="1"/>
  <c r="G12" i="2"/>
  <c r="I446" i="1"/>
  <c r="G642" i="1" s="1"/>
  <c r="L247" i="1"/>
  <c r="H408" i="1"/>
  <c r="H644" i="1" s="1"/>
  <c r="J644" i="1" s="1"/>
  <c r="G52" i="1"/>
  <c r="H618" i="1"/>
  <c r="J618" i="1" s="1"/>
  <c r="C25" i="10"/>
  <c r="C132" i="2"/>
  <c r="G47" i="2"/>
  <c r="H112" i="1"/>
  <c r="C22" i="13"/>
  <c r="J653" i="1"/>
  <c r="F408" i="1"/>
  <c r="H643" i="1" s="1"/>
  <c r="J643" i="1" s="1"/>
  <c r="L408" i="1"/>
  <c r="H646" i="1" s="1"/>
  <c r="G63" i="2"/>
  <c r="G625" i="1"/>
  <c r="J625" i="1" s="1"/>
  <c r="J620" i="1"/>
  <c r="J619" i="1"/>
  <c r="G624" i="1"/>
  <c r="H474" i="1"/>
  <c r="H476" i="1" s="1"/>
  <c r="H624" i="1" s="1"/>
  <c r="K591" i="1"/>
  <c r="K598" i="1"/>
  <c r="G647" i="1" s="1"/>
  <c r="J647" i="1" s="1"/>
  <c r="E88" i="2"/>
  <c r="E91" i="2" s="1"/>
  <c r="G164" i="2"/>
  <c r="K503" i="1"/>
  <c r="G158" i="2"/>
  <c r="K495" i="1"/>
  <c r="L560" i="1"/>
  <c r="G545" i="1"/>
  <c r="J552" i="1"/>
  <c r="L544" i="1"/>
  <c r="H545" i="1"/>
  <c r="L524" i="1"/>
  <c r="F550" i="1"/>
  <c r="I663" i="1" l="1"/>
  <c r="J624" i="1"/>
  <c r="E104" i="2"/>
  <c r="C141" i="2"/>
  <c r="C144" i="2" s="1"/>
  <c r="H33" i="13"/>
  <c r="C25" i="13"/>
  <c r="G30" i="2"/>
  <c r="G31" i="2" s="1"/>
  <c r="J32" i="1"/>
  <c r="C39" i="10"/>
  <c r="H193" i="1"/>
  <c r="G629" i="1" s="1"/>
  <c r="J629" i="1" s="1"/>
  <c r="G50" i="2"/>
  <c r="G51" i="2" s="1"/>
  <c r="H648" i="1"/>
  <c r="J352" i="1"/>
  <c r="G18" i="2"/>
  <c r="K552" i="1"/>
  <c r="G637" i="1"/>
  <c r="J637" i="1" s="1"/>
  <c r="F552" i="1"/>
  <c r="L534" i="1"/>
  <c r="L545" i="1" s="1"/>
  <c r="E130" i="2"/>
  <c r="E144" i="2" s="1"/>
  <c r="J51" i="1"/>
  <c r="L257" i="1"/>
  <c r="L271" i="1" s="1"/>
  <c r="G632" i="1" s="1"/>
  <c r="J632" i="1" s="1"/>
  <c r="C5" i="13"/>
  <c r="L277" i="1"/>
  <c r="I552" i="1"/>
  <c r="E113" i="2"/>
  <c r="C12" i="10"/>
  <c r="J651" i="1"/>
  <c r="K571" i="1"/>
  <c r="F545" i="1"/>
  <c r="H434" i="1"/>
  <c r="G257" i="1"/>
  <c r="G271" i="1" s="1"/>
  <c r="L328" i="1"/>
  <c r="H660" i="1" s="1"/>
  <c r="H664" i="1" s="1"/>
  <c r="D29" i="13"/>
  <c r="C29" i="13" s="1"/>
  <c r="D63" i="2"/>
  <c r="D104" i="2" s="1"/>
  <c r="F18" i="2"/>
  <c r="F56" i="2"/>
  <c r="F63" i="2" s="1"/>
  <c r="I112" i="1"/>
  <c r="I193" i="1" s="1"/>
  <c r="G630" i="1" s="1"/>
  <c r="J630" i="1" s="1"/>
  <c r="C121" i="2"/>
  <c r="C128" i="2" s="1"/>
  <c r="C18" i="10"/>
  <c r="H552" i="1"/>
  <c r="C29" i="10"/>
  <c r="C114" i="2"/>
  <c r="C115" i="2" s="1"/>
  <c r="L351" i="1"/>
  <c r="I452" i="1"/>
  <c r="I461" i="1" s="1"/>
  <c r="H642" i="1" s="1"/>
  <c r="J642" i="1" s="1"/>
  <c r="K605" i="1"/>
  <c r="G648" i="1" s="1"/>
  <c r="J648" i="1" s="1"/>
  <c r="I571" i="1"/>
  <c r="G476" i="1"/>
  <c r="H623" i="1" s="1"/>
  <c r="J623" i="1" s="1"/>
  <c r="K500" i="1"/>
  <c r="D161" i="2"/>
  <c r="G161" i="2" s="1"/>
  <c r="G103" i="2"/>
  <c r="G104" i="2" s="1"/>
  <c r="E50" i="2"/>
  <c r="E51" i="2" s="1"/>
  <c r="E119" i="2"/>
  <c r="E128" i="2" s="1"/>
  <c r="E109" i="2"/>
  <c r="C20" i="10"/>
  <c r="F51" i="1"/>
  <c r="C47" i="2"/>
  <c r="C50" i="2" s="1"/>
  <c r="C51" i="2" s="1"/>
  <c r="G156" i="2"/>
  <c r="C35" i="10"/>
  <c r="F290" i="1"/>
  <c r="L539" i="1"/>
  <c r="D12" i="13"/>
  <c r="C12" i="13" s="1"/>
  <c r="H571" i="1"/>
  <c r="I545" i="1"/>
  <c r="J434" i="1"/>
  <c r="L337" i="1"/>
  <c r="H338" i="1"/>
  <c r="H352" i="1" s="1"/>
  <c r="F192" i="1"/>
  <c r="F193" i="1" s="1"/>
  <c r="G627" i="1" s="1"/>
  <c r="J627" i="1" s="1"/>
  <c r="G159" i="2"/>
  <c r="F81" i="2"/>
  <c r="C78" i="2"/>
  <c r="C81" i="2" s="1"/>
  <c r="C104" i="2" s="1"/>
  <c r="D51" i="2"/>
  <c r="E18" i="2"/>
  <c r="C26" i="10"/>
  <c r="G661" i="1"/>
  <c r="I661" i="1" s="1"/>
  <c r="J192" i="1"/>
  <c r="J193" i="1" s="1"/>
  <c r="H672" i="1" l="1"/>
  <c r="C6" i="10" s="1"/>
  <c r="H667" i="1"/>
  <c r="G631" i="1"/>
  <c r="J631" i="1" s="1"/>
  <c r="G646" i="1"/>
  <c r="J646" i="1" s="1"/>
  <c r="C36" i="10"/>
  <c r="C41" i="10" s="1"/>
  <c r="C145" i="2"/>
  <c r="F104" i="2"/>
  <c r="G626" i="1"/>
  <c r="J626" i="1" s="1"/>
  <c r="J52" i="1"/>
  <c r="H621" i="1" s="1"/>
  <c r="J621" i="1" s="1"/>
  <c r="F309" i="1"/>
  <c r="F338" i="1"/>
  <c r="F352" i="1" s="1"/>
  <c r="G622" i="1"/>
  <c r="F52" i="1"/>
  <c r="H617" i="1" s="1"/>
  <c r="J617" i="1" s="1"/>
  <c r="L290" i="1"/>
  <c r="C11" i="10"/>
  <c r="E110" i="2"/>
  <c r="E115" i="2" s="1"/>
  <c r="E145" i="2" s="1"/>
  <c r="G664" i="1"/>
  <c r="D37" i="10" l="1"/>
  <c r="D40" i="10"/>
  <c r="D38" i="10"/>
  <c r="D35" i="10"/>
  <c r="D39" i="10"/>
  <c r="J622" i="1"/>
  <c r="C28" i="10"/>
  <c r="D31" i="13"/>
  <c r="L338" i="1"/>
  <c r="L352" i="1" s="1"/>
  <c r="G633" i="1" s="1"/>
  <c r="J633" i="1" s="1"/>
  <c r="F660" i="1"/>
  <c r="G672" i="1"/>
  <c r="C5" i="10" s="1"/>
  <c r="G667" i="1"/>
  <c r="D36" i="10"/>
  <c r="C31" i="13" l="1"/>
  <c r="D33" i="13"/>
  <c r="D36" i="13" s="1"/>
  <c r="F664" i="1"/>
  <c r="I660" i="1"/>
  <c r="I664" i="1" s="1"/>
  <c r="D19" i="10"/>
  <c r="D25" i="10"/>
  <c r="D22" i="10"/>
  <c r="D16" i="10"/>
  <c r="C30" i="10"/>
  <c r="D27" i="10"/>
  <c r="D10" i="10"/>
  <c r="D17" i="10"/>
  <c r="D15" i="10"/>
  <c r="D21" i="10"/>
  <c r="D13" i="10"/>
  <c r="D24" i="10"/>
  <c r="D23" i="10"/>
  <c r="D12" i="10"/>
  <c r="D18" i="10"/>
  <c r="D20" i="10"/>
  <c r="D26" i="10"/>
  <c r="D41" i="10"/>
  <c r="H656" i="1"/>
  <c r="D11" i="10"/>
  <c r="I672" i="1" l="1"/>
  <c r="C7" i="10" s="1"/>
  <c r="I667" i="1"/>
  <c r="D28" i="10"/>
  <c r="F672" i="1"/>
  <c r="C4" i="10" s="1"/>
  <c r="F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<sst xmlns="http://schemas.openxmlformats.org/spreadsheetml/2006/main" count="3962" uniqueCount="920">
  <si>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</si>
  <si>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</si>
  <si>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</si>
  <si>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</si>
  <si>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</si>
  <si>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</si>
  <si>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</si>
  <si>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</si>
  <si>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</si>
  <si>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</si>
  <si>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</si>
  <si>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</si>
  <si>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</si>
  <si>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</si>
  <si>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</si>
  <si>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</si>
  <si>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</si>
  <si>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</si>
  <si>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</si>
  <si>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</si>
  <si>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</si>
  <si>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</si>
  <si>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</si>
  <si>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</si>
  <si>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</si>
  <si>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</si>
  <si>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</si>
  <si>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</si>
  <si>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</si>
  <si>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</si>
  <si>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</si>
  <si>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</si>
  <si>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</si>
  <si>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</si>
  <si>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</si>
  <si>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</si>
  <si>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</si>
  <si>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</si>
  <si>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</si>
  <si>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</si>
  <si>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</si>
  <si>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</si>
  <si>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</si>
  <si>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</si>
  <si>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</si>
  <si>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</si>
  <si>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</si>
  <si>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</si>
  <si>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</si>
  <si>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</si>
  <si>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</si>
  <si>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</si>
  <si>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</si>
  <si>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</si>
  <si>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</si>
  <si>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</si>
  <si>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</si>
  <si>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</si>
  <si>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</si>
  <si>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</si>
  <si>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</si>
  <si>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</si>
  <si>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</si>
  <si>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</si>
  <si>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</si>
  <si>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</si>
  <si>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</si>
  <si>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</si>
  <si>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</si>
  <si>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</si>
  <si>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</si>
  <si>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</si>
  <si>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</si>
  <si>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</si>
  <si>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</si>
  <si>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</si>
  <si>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</si>
  <si>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</si>
  <si>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</si>
  <si>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</si>
  <si>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</si>
  <si>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</si>
  <si>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</si>
  <si>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</si>
  <si>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</si>
  <si>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</si>
  <si>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</si>
  <si>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</si>
  <si>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</si>
  <si>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</si>
  <si>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</si>
  <si>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</si>
  <si>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</si>
  <si>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</si>
  <si>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</si>
  <si>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</si>
  <si>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</si>
  <si>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</si>
  <si>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</si>
  <si>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</si>
  <si>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</si>
  <si>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</si>
  <si>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</si>
  <si>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</si>
  <si>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</si>
  <si>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</si>
  <si>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</si>
  <si>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</si>
  <si>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</si>
  <si>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</si>
  <si>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</si>
  <si>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</si>
  <si>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</si>
  <si>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</si>
  <si>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</si>
  <si>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</si>
  <si>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</si>
  <si>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</si>
  <si>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</si>
  <si>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</si>
  <si>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</si>
  <si>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</si>
  <si>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</si>
  <si>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</si>
  <si>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</si>
  <si>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</si>
  <si>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</si>
  <si>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</si>
  <si>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</si>
  <si>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</si>
  <si>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</si>
  <si>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</si>
  <si>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</si>
  <si>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</si>
  <si>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</si>
  <si>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</si>
  <si>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</si>
  <si>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</si>
  <si>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</si>
  <si>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</si>
  <si>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</si>
  <si>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</si>
  <si>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</si>
  <si>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</si>
  <si>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</si>
  <si>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</si>
  <si>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</si>
  <si>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</si>
  <si>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</si>
  <si>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</si>
  <si>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</si>
  <si>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</si>
  <si>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</si>
  <si>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</si>
  <si>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</si>
  <si>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</si>
  <si>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</si>
  <si>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</si>
  <si>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</si>
  <si>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</si>
  <si>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</si>
  <si>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</si>
  <si>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</si>
  <si>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</si>
  <si>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</si>
  <si>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</si>
  <si>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</si>
  <si>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</si>
  <si>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</si>
  <si>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</si>
  <si>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</si>
  <si>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</si>
  <si>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</si>
  <si>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</si>
  <si>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</si>
  <si>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</si>
  <si>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</si>
  <si>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</si>
  <si>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</si>
  <si>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</si>
  <si>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</si>
  <si>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</si>
  <si>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</si>
  <si>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</si>
  <si>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</si>
  <si>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</si>
  <si>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</si>
  <si>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</si>
  <si>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</si>
  <si>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</si>
  <si>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</si>
  <si>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</si>
  <si>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</si>
  <si>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</si>
  <si>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</si>
  <si>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</si>
  <si>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</si>
  <si>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</si>
  <si>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</si>
  <si>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</si>
  <si>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</si>
  <si>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</si>
  <si>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</si>
  <si>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</si>
  <si>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</si>
  <si>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</si>
  <si>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</si>
  <si>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</si>
  <si>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</si>
  <si>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</si>
  <si>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</si>
  <si>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</si>
  <si>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</si>
  <si>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</si>
  <si>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</si>
  <si>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</si>
  <si>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</si>
  <si>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</si>
  <si>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</si>
  <si>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</si>
  <si>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</si>
  <si>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</si>
  <si>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</si>
  <si>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</si>
  <si>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</si>
  <si>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</si>
  <si>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</si>
  <si>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</si>
  <si>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</si>
  <si>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</si>
  <si>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</si>
  <si>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</si>
  <si>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</si>
  <si>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</si>
  <si>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</si>
  <si>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</si>
  <si>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</si>
  <si>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</si>
  <si>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</si>
  <si>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</si>
  <si>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</si>
  <si>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</si>
  <si>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</si>
  <si>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</si>
  <si>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</si>
  <si>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</si>
  <si>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</si>
  <si>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</si>
  <si>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</si>
  <si>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</si>
  <si>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</si>
  <si>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</si>
  <si>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</si>
  <si>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</si>
  <si>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</si>
  <si>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</si>
  <si>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</si>
  <si>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</si>
  <si>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</si>
  <si>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</si>
  <si>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</si>
  <si>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</si>
  <si>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</si>
  <si>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</si>
  <si>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</si>
  <si>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</si>
  <si>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</si>
  <si>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</si>
  <si>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</si>
  <si>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</si>
  <si>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</si>
  <si>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</si>
  <si>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</si>
  <si>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</si>
  <si>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</si>
  <si>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</si>
  <si>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</si>
  <si>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</si>
  <si>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</si>
  <si>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</si>
  <si>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</si>
  <si>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</si>
  <si>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</si>
  <si>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</si>
  <si>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</si>
  <si>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</si>
  <si>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</si>
  <si>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</si>
  <si>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</si>
  <si>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</si>
  <si>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</si>
  <si>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</si>
  <si>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</si>
  <si>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</si>
  <si>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</si>
  <si>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</si>
  <si>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</si>
  <si>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</si>
  <si>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</si>
  <si>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</si>
  <si>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</si>
  <si>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</si>
  <si>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</si>
  <si>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</si>
  <si>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</si>
  <si>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</si>
  <si>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</si>
  <si>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</si>
  <si>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</si>
  <si>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</si>
  <si>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</si>
  <si>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</si>
  <si>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</si>
  <si>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</si>
  <si>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</si>
  <si>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</si>
  <si>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</si>
  <si>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</si>
  <si>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</si>
  <si>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</si>
  <si>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</si>
  <si>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</si>
  <si>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</si>
  <si>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</si>
  <si>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</si>
  <si>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</si>
  <si>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</si>
  <si>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</si>
  <si>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</si>
  <si>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</si>
  <si>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</si>
  <si>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</si>
  <si>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</si>
  <si>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</si>
  <si>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</si>
  <si>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</si>
  <si>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</si>
  <si>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</si>
  <si>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</si>
  <si>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</si>
  <si>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</si>
  <si>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</si>
  <si>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</si>
  <si>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</si>
  <si>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</si>
  <si>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</si>
  <si>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</si>
  <si>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</si>
  <si>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</si>
  <si>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</si>
  <si>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</si>
  <si>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</si>
  <si>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</si>
  <si>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</si>
  <si>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</si>
  <si>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</si>
  <si>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</si>
  <si>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</si>
  <si>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</si>
  <si>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</si>
  <si>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</si>
  <si>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</si>
  <si>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</si>
  <si>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</si>
  <si>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</si>
  <si>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</si>
  <si>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</si>
  <si>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</si>
  <si>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</si>
  <si>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</si>
  <si>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</si>
  <si>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</si>
  <si>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</si>
  <si>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</si>
  <si>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</si>
  <si>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</si>
  <si>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</si>
  <si>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</si>
  <si>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</si>
  <si>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</si>
  <si>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</si>
  <si>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</si>
  <si>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</si>
  <si>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</si>
  <si>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</si>
  <si>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</si>
  <si>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</si>
  <si>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</si>
  <si>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</si>
  <si>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</si>
  <si>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</si>
  <si>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</si>
  <si>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</si>
  <si>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</si>
  <si>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</si>
  <si>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</si>
  <si>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</si>
  <si>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</si>
  <si>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</si>
  <si>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</si>
  <si>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</si>
  <si>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</si>
  <si>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</si>
  <si>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</si>
  <si>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</si>
  <si>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</si>
  <si>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</si>
  <si>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</si>
  <si>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</si>
  <si>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</si>
  <si>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</si>
  <si>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</si>
  <si>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</si>
  <si>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</si>
  <si>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</si>
  <si>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</si>
  <si>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</si>
  <si>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</si>
  <si>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</si>
  <si>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</si>
  <si>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</si>
  <si>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</si>
  <si>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</si>
  <si>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</si>
  <si>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</si>
  <si>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</si>
  <si>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</si>
  <si>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</si>
  <si>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</si>
  <si>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</si>
  <si>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</si>
  <si>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</si>
  <si>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</si>
  <si>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</si>
  <si>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</si>
  <si>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</si>
  <si>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</si>
  <si>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</si>
  <si>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</si>
  <si>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</si>
  <si>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</si>
  <si>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</si>
  <si>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</si>
  <si>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</si>
  <si>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</si>
  <si>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</si>
  <si>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</si>
  <si>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</si>
  <si>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</si>
  <si>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</si>
  <si>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</si>
  <si>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</si>
  <si>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</si>
  <si>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</si>
  <si>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</si>
  <si>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</si>
  <si>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</si>
  <si>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</si>
  <si>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</si>
  <si>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</si>
  <si>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</si>
  <si>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</si>
  <si>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</si>
  <si>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</si>
  <si>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</si>
  <si>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</si>
  <si>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</si>
  <si>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</si>
  <si>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</si>
  <si>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</si>
  <si>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</si>
  <si>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</si>
  <si>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</si>
  <si>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</si>
  <si>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</si>
  <si>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</si>
  <si>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</si>
  <si>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</si>
  <si>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</si>
  <si>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</si>
  <si>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</si>
  <si>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</si>
  <si>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</si>
  <si>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</si>
  <si>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</si>
  <si>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</si>
  <si>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</si>
  <si>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</si>
  <si>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</si>
  <si>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</si>
  <si>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</si>
  <si>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</si>
  <si>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</si>
  <si>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</si>
  <si>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</si>
  <si>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</si>
  <si>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</si>
  <si>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</si>
  <si>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</si>
  <si>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</si>
  <si>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</si>
  <si>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</si>
  <si>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</si>
  <si>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</si>
  <si>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</si>
  <si>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</si>
  <si>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</si>
  <si>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</si>
  <si>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</si>
  <si>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</si>
  <si>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</si>
  <si>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</si>
  <si>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</si>
  <si>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</si>
  <si>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</si>
  <si>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</si>
  <si>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</si>
  <si>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</si>
  <si>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</si>
  <si>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</si>
  <si>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</si>
  <si>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</si>
  <si>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</si>
  <si>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</si>
  <si>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</si>
  <si>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</si>
  <si>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</si>
  <si>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</si>
  <si>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</si>
  <si>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</si>
  <si>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</si>
  <si>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</si>
  <si>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</si>
  <si>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</si>
  <si>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</si>
  <si>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</si>
  <si>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</si>
  <si>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</si>
  <si>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</si>
  <si>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</si>
  <si>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</si>
  <si>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</si>
  <si>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</si>
  <si>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</si>
  <si>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</si>
  <si>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</si>
  <si>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</si>
  <si>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</si>
  <si>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</si>
  <si>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</si>
  <si>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</si>
  <si>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</si>
  <si>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</si>
  <si>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</si>
  <si>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</si>
  <si>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</si>
  <si>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</si>
  <si>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</si>
  <si>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</si>
  <si>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</si>
  <si>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</si>
  <si>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</si>
  <si>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</si>
  <si>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</si>
  <si>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</si>
  <si>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</si>
  <si>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</si>
  <si>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</si>
  <si>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</si>
  <si>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</si>
  <si>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</si>
  <si>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</si>
  <si>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</si>
  <si>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</si>
  <si>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</si>
  <si>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</si>
  <si>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</si>
  <si>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</si>
  <si>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</si>
  <si>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</si>
  <si>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</si>
  <si>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</si>
  <si>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</si>
  <si>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</si>
  <si>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</si>
  <si>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</si>
  <si>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</si>
  <si>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</si>
  <si>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</si>
  <si>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</si>
  <si>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</si>
  <si>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</si>
  <si>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</si>
  <si>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</si>
  <si>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</si>
  <si>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</si>
  <si>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</si>
  <si>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</si>
  <si>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</si>
  <si>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</si>
  <si>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</si>
  <si>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</si>
  <si>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</si>
  <si>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</si>
  <si>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</si>
  <si>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</si>
  <si>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</si>
  <si>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</si>
  <si>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</si>
  <si>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</si>
  <si>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</si>
  <si>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</si>
  <si>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</si>
  <si>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</si>
  <si>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</si>
  <si>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</si>
  <si>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</si>
  <si>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</si>
  <si>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</si>
  <si>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</si>
  <si>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</si>
  <si>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</si>
  <si>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</si>
  <si>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</si>
  <si>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</si>
  <si>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</si>
  <si>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</si>
  <si>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</si>
  <si>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</si>
  <si>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</si>
  <si>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</si>
  <si>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</si>
  <si>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</si>
  <si>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</si>
  <si>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</si>
  <si>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</si>
  <si>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</si>
  <si>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</si>
  <si>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</si>
  <si>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</si>
  <si>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</si>
  <si>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</si>
  <si>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</si>
  <si>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</si>
  <si>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</si>
  <si>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</si>
  <si>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</si>
  <si>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</si>
  <si>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</si>
  <si>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</si>
  <si>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</si>
  <si>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</si>
  <si>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</si>
  <si>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</si>
  <si>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</si>
  <si>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</si>
  <si>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</si>
  <si>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</si>
  <si>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</si>
  <si>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</si>
  <si>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</si>
  <si>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</si>
  <si>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</si>
  <si>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</si>
  <si>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</si>
  <si>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</si>
  <si>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</si>
  <si>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</si>
  <si>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</si>
  <si>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</si>
  <si>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</si>
  <si>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</si>
  <si>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</si>
  <si>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</si>
  <si>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</si>
  <si>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</si>
  <si>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</si>
  <si>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</si>
  <si>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</si>
  <si>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</si>
  <si>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</si>
  <si>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</si>
  <si>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</si>
  <si>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</si>
  <si>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</si>
  <si>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</si>
  <si>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</si>
  <si>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</si>
  <si>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</si>
  <si>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</si>
  <si>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</si>
  <si>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</si>
  <si>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</si>
  <si>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</si>
  <si>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</si>
  <si>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</si>
  <si>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</si>
  <si>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</si>
  <si>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</si>
  <si>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</si>
  <si>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</si>
  <si>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</si>
  <si>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</si>
  <si>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</si>
  <si>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</si>
  <si>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</si>
  <si>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</si>
  <si>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</si>
  <si>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</si>
  <si>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</si>
  <si>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</si>
  <si>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</si>
  <si>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</si>
  <si>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</si>
  <si>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</si>
  <si>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</si>
  <si>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</si>
  <si>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</si>
  <si>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</si>
  <si>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</si>
  <si>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</si>
  <si>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</si>
  <si>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</si>
  <si>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</si>
  <si>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</si>
  <si>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</si>
  <si>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</si>
  <si>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</si>
  <si>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</si>
  <si>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</si>
  <si>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</si>
  <si>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</si>
  <si>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</si>
  <si>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</si>
  <si>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</si>
  <si>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</si>
  <si>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</si>
  <si>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</si>
  <si>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</si>
  <si>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</si>
  <si>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</si>
  <si>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</si>
  <si>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</si>
  <si>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</si>
  <si>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</si>
  <si>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</si>
  <si>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</si>
  <si>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</si>
  <si>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</si>
  <si>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</si>
  <si>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</si>
  <si>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</si>
  <si>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</si>
  <si>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</si>
  <si>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</si>
  <si>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</si>
  <si>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</si>
  <si>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</si>
  <si>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</si>
  <si>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</si>
  <si>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</si>
  <si>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</si>
  <si>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</si>
  <si>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</si>
  <si>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</si>
  <si>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</si>
  <si>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</si>
  <si>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</si>
  <si>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</si>
  <si>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</si>
  <si>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</si>
  <si>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</si>
  <si>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</si>
  <si>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</si>
  <si>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</si>
  <si>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</si>
  <si>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</si>
  <si>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</si>
  <si>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</si>
  <si>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</si>
  <si>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</si>
  <si>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</si>
  <si>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</si>
  <si>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</si>
  <si>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</si>
  <si>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</si>
  <si>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</si>
  <si>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</si>
  <si>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</si>
  <si>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</si>
  <si>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</si>
  <si>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</si>
  <si>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</si>
  <si>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</si>
  <si>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</si>
  <si>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</si>
  <si>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</si>
  <si>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</si>
  <si>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</si>
  <si>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</si>
  <si>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</si>
  <si>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</si>
  <si>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</si>
  <si>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</si>
  <si>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</si>
  <si>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</si>
  <si>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</si>
  <si>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</si>
  <si>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</si>
  <si>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</si>
  <si>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</si>
  <si>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</si>
  <si>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</si>
  <si>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</si>
  <si>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</si>
  <si>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</si>
  <si>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</si>
  <si>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</si>
  <si>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</si>
  <si>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</si>
  <si>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</si>
  <si>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</si>
  <si>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</si>
  <si>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</si>
  <si>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</si>
  <si>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</si>
  <si>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</si>
  <si>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</si>
  <si>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</si>
  <si>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</si>
  <si>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</si>
  <si>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</si>
  <si>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</si>
  <si>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</si>
  <si>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</si>
  <si>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</si>
  <si>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</si>
  <si>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</si>
  <si>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</si>
  <si>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</si>
  <si>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</si>
  <si>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</si>
  <si>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</si>
  <si>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</si>
  <si>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</si>
  <si>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</si>
  <si>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</si>
  <si>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</si>
  <si>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</si>
  <si>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</si>
  <si>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</si>
  <si>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</si>
  <si>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</si>
  <si>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</si>
  <si>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</si>
  <si>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</si>
  <si>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</si>
  <si>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</si>
  <si>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</si>
  <si>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</si>
  <si>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</si>
  <si>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</si>
  <si>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</si>
  <si>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</si>
  <si>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</si>
  <si>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</si>
  <si>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</si>
  <si>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</si>
  <si>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</si>
  <si>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</si>
  <si>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</si>
  <si>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</si>
  <si>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</si>
  <si>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</si>
  <si>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</si>
  <si>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</si>
  <si>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</si>
  <si>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</si>
  <si>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</si>
  <si>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</si>
  <si>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</si>
  <si>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</si>
  <si>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</si>
  <si>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</si>
  <si>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</si>
  <si>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</si>
  <si>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</si>
  <si>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</si>
  <si>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</si>
  <si>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</si>
  <si>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</si>
  <si>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</si>
  <si>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</si>
  <si>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</si>
  <si>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</si>
  <si>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</si>
  <si>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</si>
  <si>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</si>
  <si>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</si>
  <si>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</si>
  <si>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</si>
  <si>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</si>
  <si>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</si>
  <si>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</si>
  <si>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</si>
  <si>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</si>
  <si>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</si>
  <si>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</si>
  <si>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</si>
  <si>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</si>
  <si>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</si>
  <si>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Merrimack</t>
  </si>
  <si>
    <t>Note- LGC Return on Page 3 Line 23</t>
  </si>
  <si>
    <t>Refund of prior Years Expenditures.</t>
  </si>
  <si>
    <t>2/01</t>
  </si>
  <si>
    <t>2/04</t>
  </si>
  <si>
    <t>07/07</t>
  </si>
  <si>
    <t>8/20</t>
  </si>
  <si>
    <t>8/23</t>
  </si>
  <si>
    <t>07/20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</si>
</sst>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37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0" fillId="0" borderId="0" xfId="0" applyNumberFormat="1" applyProtection="1">
      <protection locked="0"/>
    </xf>
    <xf numFmtId="0" fontId="37" fillId="0" borderId="0" xfId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2">
    <cellStyle name="Normal" xfId="0" builtinId="0"/>
    <cellStyle name="Normal_DOE25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5" t="s">
        <v>911</v>
      </c>
      <c r="B2" s="21">
        <v>351</v>
      </c>
      <c r="C2" s="21">
        <v>351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5394801</v>
      </c>
      <c r="G9" s="18"/>
      <c r="H9" s="18"/>
      <c r="I9" s="18"/>
      <c r="J9" s="66">
        <f>SUM(I439)</f>
        <v>0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6">
        <f>SUM(I440)</f>
        <v>0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188018</v>
      </c>
      <c r="G12" s="18">
        <v>12379.57</v>
      </c>
      <c r="H12" s="18"/>
      <c r="I12" s="18"/>
      <c r="J12" s="66">
        <f>SUM(I441)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766086</v>
      </c>
      <c r="G13" s="18"/>
      <c r="H13" s="18"/>
      <c r="I13" s="18"/>
      <c r="J13" s="66">
        <f>SUM(I442)</f>
        <v>663866.72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102246</v>
      </c>
      <c r="G14" s="18">
        <v>44980</v>
      </c>
      <c r="H14" s="18">
        <f>265110+39560.2</f>
        <v>304670.2</v>
      </c>
      <c r="I14" s="18"/>
      <c r="J14" s="66">
        <f>SUM(I443)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6">
        <f>SUM(I444)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4"/>
      <c r="I18" s="18"/>
      <c r="J18" s="66">
        <f>SUM(I445)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6451151</v>
      </c>
      <c r="G19" s="41">
        <f>SUM(G9:G18)</f>
        <v>57359.57</v>
      </c>
      <c r="H19" s="41">
        <f>SUM(H9:H18)</f>
        <v>304670.2</v>
      </c>
      <c r="I19" s="41">
        <f>SUM(I9:I18)</f>
        <v>0</v>
      </c>
      <c r="J19" s="41">
        <f>SUM(J9:J18)</f>
        <v>663866.72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265336</v>
      </c>
      <c r="I22" s="18"/>
      <c r="J22" s="66">
        <f>SUM(I448)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6">
        <f>SUM(I449)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108861</v>
      </c>
      <c r="G24" s="18"/>
      <c r="H24" s="18"/>
      <c r="I24" s="18"/>
      <c r="J24" s="66">
        <f>SUM(I450)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4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6">
        <f>SUM(I451)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108861</v>
      </c>
      <c r="G32" s="41">
        <f>SUM(G22:G31)</f>
        <v>0</v>
      </c>
      <c r="H32" s="41">
        <f>SUM(H22:H31)</f>
        <v>265336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>
        <v>39859.199999999997</v>
      </c>
      <c r="I39" s="18"/>
      <c r="J39" s="13">
        <f>I458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57359.57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27542</v>
      </c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745265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69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f>30334-18</f>
        <v>30316</v>
      </c>
      <c r="G48" s="18"/>
      <c r="H48" s="18"/>
      <c r="I48" s="18"/>
      <c r="J48" s="13">
        <f>SUM(I459)</f>
        <v>663866.72</v>
      </c>
      <c r="K48" s="24" t="s">
        <v>289</v>
      </c>
      <c r="L48" s="24" t="s">
        <v>289</v>
      </c>
      <c r="M48" s="8"/>
      <c r="N48" s="269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695419.85</v>
      </c>
      <c r="G49" s="18"/>
      <c r="H49" s="18">
        <v>-525</v>
      </c>
      <c r="I49" s="18"/>
      <c r="J49" s="13">
        <f>I454</f>
        <v>0</v>
      </c>
      <c r="K49" s="24"/>
      <c r="L49" s="24"/>
      <c r="M49" s="8"/>
      <c r="N49" s="269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>
        <v>4843747.1500000004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69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6342290</v>
      </c>
      <c r="G51" s="41">
        <f>SUM(G35:G50)</f>
        <v>57359.57</v>
      </c>
      <c r="H51" s="41">
        <f>SUM(H35:H50)</f>
        <v>39334.199999999997</v>
      </c>
      <c r="I51" s="41">
        <f>SUM(I35:I50)</f>
        <v>0</v>
      </c>
      <c r="J51" s="41">
        <f>SUM(J35:J50)</f>
        <v>663866.72</v>
      </c>
      <c r="K51" s="45" t="s">
        <v>289</v>
      </c>
      <c r="L51" s="45" t="s">
        <v>289</v>
      </c>
      <c r="N51" s="18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6451151</v>
      </c>
      <c r="G52" s="41">
        <f>G51+G32</f>
        <v>57359.57</v>
      </c>
      <c r="H52" s="41">
        <f>H51+H32</f>
        <v>304670.2</v>
      </c>
      <c r="I52" s="41">
        <f>I51+I32</f>
        <v>0</v>
      </c>
      <c r="J52" s="41">
        <f>J51+J32</f>
        <v>663866.72</v>
      </c>
      <c r="K52" s="45" t="s">
        <v>289</v>
      </c>
      <c r="L52" s="45" t="s">
        <v>289</v>
      </c>
      <c r="M52" s="8"/>
      <c r="N52" s="269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69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69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69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44221972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69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69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0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44221972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0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11565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69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57090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0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22349.03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91966.5-50046.13</f>
        <v>41920.370000000003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13669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69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146593.4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69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69"/>
    </row>
    <row r="81" spans="1:14" s="3" customFormat="1" ht="12" customHeight="1" x14ac:dyDescent="0.2">
      <c r="A81" s="169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69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69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21400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69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21400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69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5937.27</v>
      </c>
      <c r="G96" s="18"/>
      <c r="H96" s="18"/>
      <c r="I96" s="18"/>
      <c r="J96" s="18">
        <v>5963.87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940241.78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30190-531.69+589+532</f>
        <v>30779.31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11126.73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1532038.4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69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69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1579881.71</v>
      </c>
      <c r="G111" s="41">
        <f>SUM(G96:G110)</f>
        <v>940241.78</v>
      </c>
      <c r="H111" s="41">
        <f>SUM(H96:H110)</f>
        <v>0</v>
      </c>
      <c r="I111" s="41">
        <f>SUM(I96:I110)</f>
        <v>0</v>
      </c>
      <c r="J111" s="41">
        <f>SUM(J96:J110)</f>
        <v>5963.87</v>
      </c>
      <c r="K111" s="45" t="s">
        <v>289</v>
      </c>
      <c r="L111" s="45" t="s">
        <v>289</v>
      </c>
      <c r="N111" s="18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45969847.109999999</v>
      </c>
      <c r="G112" s="41">
        <f>G60+G111</f>
        <v>940241.78</v>
      </c>
      <c r="H112" s="41">
        <f>H60+H79+H94+H111</f>
        <v>0</v>
      </c>
      <c r="I112" s="41">
        <f>I60+I111</f>
        <v>0</v>
      </c>
      <c r="J112" s="41">
        <f>J60+J111</f>
        <v>5963.87</v>
      </c>
      <c r="K112" s="45" t="s">
        <v>289</v>
      </c>
      <c r="L112" s="45" t="s">
        <v>289</v>
      </c>
      <c r="M112" s="8"/>
      <c r="N112" s="269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69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69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69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9441456.5199999996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6652048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69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16093504.52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69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400444.5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69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69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1023229.64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9215.4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16609.810000000001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69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69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69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1432889.54</v>
      </c>
      <c r="G136" s="41">
        <f>SUM(G123:G135)</f>
        <v>16609.810000000001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69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69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17526394.059999999</v>
      </c>
      <c r="G140" s="41">
        <f>G121+SUM(G136:G137)</f>
        <v>16609.810000000001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69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69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69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69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69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69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138337.17000000001</v>
      </c>
      <c r="I150" s="18"/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20197.78+187277.3</f>
        <v>207475.08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2334.51+773.3+37954.77+111629.44</f>
        <v>152692.01999999999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237264.76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900201.93+15667</f>
        <v>915868.93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867015.53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13200</v>
      </c>
      <c r="I161" s="18"/>
      <c r="J161" s="24" t="s">
        <v>289</v>
      </c>
      <c r="K161" s="24" t="s">
        <v>289</v>
      </c>
      <c r="L161" s="24" t="s">
        <v>289</v>
      </c>
      <c r="M161" s="8"/>
      <c r="N161" s="269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867015.53</v>
      </c>
      <c r="G162" s="41">
        <f>SUM(G150:G161)</f>
        <v>237264.76</v>
      </c>
      <c r="H162" s="41">
        <f>SUM(H150:H161)</f>
        <v>1427573.2000000002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69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69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867015.53</v>
      </c>
      <c r="G169" s="41">
        <f>G147+G162+SUM(G163:G168)</f>
        <v>237264.76</v>
      </c>
      <c r="H169" s="41">
        <f>H147+H162+SUM(H163:H168)</f>
        <v>1427573.2000000002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69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69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69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69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69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69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69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69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69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69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67652.3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69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67652.3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69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5" t="s">
        <v>431</v>
      </c>
      <c r="E192" s="51">
        <v>5000</v>
      </c>
      <c r="F192" s="41">
        <f>F177+F183+SUM(F188:F191)</f>
        <v>67652.3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6" t="s">
        <v>431</v>
      </c>
      <c r="E193" s="44"/>
      <c r="F193" s="47">
        <f>F112+F140+F169+F192</f>
        <v>64430909</v>
      </c>
      <c r="G193" s="47">
        <f>G112+G140+G169+G192</f>
        <v>1194116.3500000001</v>
      </c>
      <c r="H193" s="47">
        <f>H112+H140+H169+H192</f>
        <v>1427573.2000000002</v>
      </c>
      <c r="I193" s="47">
        <f>I112+I140+I169+I192</f>
        <v>0</v>
      </c>
      <c r="J193" s="47">
        <f>J112+J140+J192</f>
        <v>5963.87</v>
      </c>
      <c r="K193" s="45" t="s">
        <v>289</v>
      </c>
      <c r="L193" s="45" t="s">
        <v>289</v>
      </c>
      <c r="M193" s="8"/>
      <c r="N193" s="269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69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69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69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6957495.2699999996</v>
      </c>
      <c r="G197" s="18">
        <v>3920336.99</v>
      </c>
      <c r="H197" s="18">
        <v>41879.93</v>
      </c>
      <c r="I197" s="18">
        <v>285682.11</v>
      </c>
      <c r="J197" s="18">
        <v>108323.17</v>
      </c>
      <c r="K197" s="18"/>
      <c r="L197" s="19">
        <f>SUM(F197:K197)</f>
        <v>11313717.469999999</v>
      </c>
      <c r="M197" s="8"/>
      <c r="N197" s="269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3949162.72</v>
      </c>
      <c r="G198" s="18">
        <v>2225233.09</v>
      </c>
      <c r="H198" s="18">
        <v>1063125.05</v>
      </c>
      <c r="I198" s="18">
        <v>20620.34</v>
      </c>
      <c r="J198" s="18"/>
      <c r="K198" s="18"/>
      <c r="L198" s="19">
        <f>SUM(F198:K198)</f>
        <v>7258141.2000000002</v>
      </c>
      <c r="M198" s="8"/>
      <c r="N198" s="269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4"/>
      <c r="I199" s="18"/>
      <c r="J199" s="18"/>
      <c r="K199" s="18"/>
      <c r="L199" s="19">
        <f>SUM(F199:K199)</f>
        <v>0</v>
      </c>
      <c r="M199" s="8"/>
      <c r="N199" s="269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>
        <v>5496.33</v>
      </c>
      <c r="I200" s="18"/>
      <c r="J200" s="18"/>
      <c r="K200" s="18"/>
      <c r="L200" s="19">
        <f>SUM(F200:K200)</f>
        <v>5496.33</v>
      </c>
      <c r="M200" s="8"/>
      <c r="N200" s="269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69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1392283.8</v>
      </c>
      <c r="G202" s="18">
        <v>784509.58</v>
      </c>
      <c r="H202" s="18">
        <v>700757.75</v>
      </c>
      <c r="I202" s="18">
        <v>11261.16</v>
      </c>
      <c r="J202" s="18"/>
      <c r="K202" s="18"/>
      <c r="L202" s="19">
        <f t="shared" ref="L202:L208" si="0">SUM(F202:K202)</f>
        <v>2888812.29</v>
      </c>
      <c r="M202" s="8"/>
      <c r="N202" s="269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405389.52</v>
      </c>
      <c r="G203" s="18">
        <v>228424.67</v>
      </c>
      <c r="H203" s="18">
        <v>4987.21</v>
      </c>
      <c r="I203" s="18">
        <v>91323.54</v>
      </c>
      <c r="J203" s="18">
        <v>8310.49</v>
      </c>
      <c r="K203" s="18">
        <v>467</v>
      </c>
      <c r="L203" s="19">
        <f t="shared" si="0"/>
        <v>738902.43</v>
      </c>
      <c r="M203" s="8"/>
      <c r="N203" s="269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377544.67</v>
      </c>
      <c r="G204" s="18">
        <v>212734.94</v>
      </c>
      <c r="H204" s="18">
        <v>212441.7</v>
      </c>
      <c r="I204" s="18">
        <v>12865.7</v>
      </c>
      <c r="J204" s="18">
        <v>7450.77</v>
      </c>
      <c r="K204" s="18">
        <v>11396.83</v>
      </c>
      <c r="L204" s="19">
        <f t="shared" si="0"/>
        <v>834434.61</v>
      </c>
      <c r="M204" s="8"/>
      <c r="N204" s="269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1053790.8400000001</v>
      </c>
      <c r="G205" s="18">
        <v>593779.09</v>
      </c>
      <c r="H205" s="18">
        <v>55826.52</v>
      </c>
      <c r="I205" s="18">
        <v>11717.65</v>
      </c>
      <c r="J205" s="18">
        <v>2001.38</v>
      </c>
      <c r="K205" s="18">
        <v>7839.74</v>
      </c>
      <c r="L205" s="19">
        <f t="shared" si="0"/>
        <v>1724955.22</v>
      </c>
      <c r="M205" s="8"/>
      <c r="N205" s="269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135385.44</v>
      </c>
      <c r="G206" s="18">
        <v>76285.58</v>
      </c>
      <c r="H206" s="18">
        <v>67182.48</v>
      </c>
      <c r="I206" s="18"/>
      <c r="J206" s="18"/>
      <c r="K206" s="18">
        <v>4019.3</v>
      </c>
      <c r="L206" s="19">
        <f t="shared" si="0"/>
        <v>282872.8</v>
      </c>
      <c r="M206" s="8"/>
      <c r="N206" s="269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875323.24</v>
      </c>
      <c r="G207" s="18">
        <v>493218.02</v>
      </c>
      <c r="H207" s="18">
        <v>367245.66</v>
      </c>
      <c r="I207" s="18">
        <v>568500.59</v>
      </c>
      <c r="J207" s="18">
        <v>5203.63</v>
      </c>
      <c r="K207" s="18"/>
      <c r="L207" s="19">
        <f t="shared" si="0"/>
        <v>2309491.1399999997</v>
      </c>
      <c r="M207" s="8"/>
      <c r="N207" s="269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25157.25</v>
      </c>
      <c r="G208" s="18">
        <v>14175.35</v>
      </c>
      <c r="H208" s="18">
        <v>1317447.6100000001</v>
      </c>
      <c r="I208" s="18"/>
      <c r="J208" s="18"/>
      <c r="K208" s="18"/>
      <c r="L208" s="19">
        <f t="shared" si="0"/>
        <v>1356780.2100000002</v>
      </c>
      <c r="M208" s="8"/>
      <c r="N208" s="269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46883</v>
      </c>
      <c r="G209" s="18">
        <v>26417.14</v>
      </c>
      <c r="H209" s="18"/>
      <c r="I209" s="18"/>
      <c r="J209" s="18"/>
      <c r="K209" s="18"/>
      <c r="L209" s="19">
        <f>SUM(F209:K209)</f>
        <v>73300.14</v>
      </c>
      <c r="M209" s="8"/>
      <c r="N209" s="269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69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15218415.75</v>
      </c>
      <c r="G211" s="41">
        <f t="shared" si="1"/>
        <v>8575114.4500000011</v>
      </c>
      <c r="H211" s="41">
        <f t="shared" si="1"/>
        <v>3836390.24</v>
      </c>
      <c r="I211" s="41">
        <f t="shared" si="1"/>
        <v>1001971.09</v>
      </c>
      <c r="J211" s="41">
        <f t="shared" si="1"/>
        <v>131289.44</v>
      </c>
      <c r="K211" s="41">
        <f t="shared" si="1"/>
        <v>23722.87</v>
      </c>
      <c r="L211" s="41">
        <f t="shared" si="1"/>
        <v>28786903.839999996</v>
      </c>
      <c r="M211" s="8"/>
      <c r="N211" s="269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6"/>
      <c r="M212" s="8"/>
      <c r="N212" s="269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69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69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2623664.12-175</f>
        <v>2623489.12</v>
      </c>
      <c r="G215" s="18">
        <v>1478256.33</v>
      </c>
      <c r="H215" s="18">
        <v>17047.07</v>
      </c>
      <c r="I215" s="18">
        <v>49756.01</v>
      </c>
      <c r="J215" s="18">
        <v>27726.98</v>
      </c>
      <c r="K215" s="18"/>
      <c r="L215" s="19">
        <f>SUM(F215:K215)</f>
        <v>4196275.51</v>
      </c>
      <c r="M215" s="8"/>
      <c r="N215" s="269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1094025.68+11976.95</f>
        <v>1106002.6299999999</v>
      </c>
      <c r="G216" s="18">
        <v>623198.85</v>
      </c>
      <c r="H216" s="18">
        <v>557840.68999999994</v>
      </c>
      <c r="I216" s="18">
        <v>1056.76</v>
      </c>
      <c r="J216" s="18"/>
      <c r="K216" s="18"/>
      <c r="L216" s="19">
        <f>SUM(F216:K216)</f>
        <v>2288098.9299999997</v>
      </c>
      <c r="M216" s="8"/>
      <c r="N216" s="269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69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42696</v>
      </c>
      <c r="G218" s="18">
        <v>24057.9</v>
      </c>
      <c r="H218" s="18">
        <v>8217.73</v>
      </c>
      <c r="I218" s="18">
        <v>4067.07</v>
      </c>
      <c r="J218" s="18"/>
      <c r="K218" s="18"/>
      <c r="L218" s="19">
        <f>SUM(F218:K218)</f>
        <v>79038.7</v>
      </c>
      <c r="M218" s="8"/>
      <c r="N218" s="269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69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316010.57</v>
      </c>
      <c r="G220" s="18">
        <v>178062.35</v>
      </c>
      <c r="H220" s="18">
        <v>210863.98</v>
      </c>
      <c r="I220" s="18">
        <v>621.62</v>
      </c>
      <c r="J220" s="18"/>
      <c r="K220" s="18"/>
      <c r="L220" s="19">
        <f t="shared" ref="L220:L226" si="2">SUM(F220:K220)</f>
        <v>705558.52</v>
      </c>
      <c r="M220" s="8"/>
      <c r="N220" s="269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129724.65</v>
      </c>
      <c r="G221" s="18">
        <v>73095.899999999994</v>
      </c>
      <c r="H221" s="18">
        <v>1595.91</v>
      </c>
      <c r="I221" s="18">
        <v>29223.53</v>
      </c>
      <c r="J221" s="18">
        <v>2659.36</v>
      </c>
      <c r="K221" s="18">
        <v>149.44</v>
      </c>
      <c r="L221" s="19">
        <f t="shared" si="2"/>
        <v>236448.78999999998</v>
      </c>
      <c r="M221" s="8"/>
      <c r="N221" s="269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120814.29</v>
      </c>
      <c r="G222" s="18">
        <v>68075.179999999993</v>
      </c>
      <c r="H222" s="18">
        <v>67981.34</v>
      </c>
      <c r="I222" s="18">
        <v>4117.03</v>
      </c>
      <c r="J222" s="18">
        <v>2384.25</v>
      </c>
      <c r="K222" s="18">
        <v>3646.99</v>
      </c>
      <c r="L222" s="19">
        <f t="shared" si="2"/>
        <v>267019.07999999996</v>
      </c>
      <c r="M222" s="8"/>
      <c r="N222" s="269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275305.38</v>
      </c>
      <c r="G223" s="18">
        <v>155126.21</v>
      </c>
      <c r="H223" s="18">
        <v>29631.89</v>
      </c>
      <c r="I223" s="18">
        <v>5047.95</v>
      </c>
      <c r="J223" s="18">
        <v>1886.87</v>
      </c>
      <c r="K223" s="18">
        <v>2970</v>
      </c>
      <c r="L223" s="19">
        <f t="shared" si="2"/>
        <v>469968.3</v>
      </c>
      <c r="M223" s="8"/>
      <c r="N223" s="269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51707.39</v>
      </c>
      <c r="G224" s="18">
        <v>29135.54</v>
      </c>
      <c r="H224" s="18">
        <v>21498.39</v>
      </c>
      <c r="I224" s="18"/>
      <c r="J224" s="18"/>
      <c r="K224" s="18">
        <v>1286.18</v>
      </c>
      <c r="L224" s="19">
        <f t="shared" si="2"/>
        <v>103627.49999999999</v>
      </c>
      <c r="M224" s="8"/>
      <c r="N224" s="269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310767.39</v>
      </c>
      <c r="G225" s="18">
        <v>175107.97</v>
      </c>
      <c r="H225" s="18">
        <v>116243.93</v>
      </c>
      <c r="I225" s="18">
        <v>204330.01</v>
      </c>
      <c r="J225" s="18">
        <v>1665.16</v>
      </c>
      <c r="K225" s="18"/>
      <c r="L225" s="19">
        <f t="shared" si="2"/>
        <v>808114.46000000008</v>
      </c>
      <c r="M225" s="8"/>
      <c r="N225" s="269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8050.32</v>
      </c>
      <c r="G226" s="18">
        <v>4536.1099999999997</v>
      </c>
      <c r="H226" s="18">
        <v>442522.96</v>
      </c>
      <c r="I226" s="18"/>
      <c r="J226" s="18"/>
      <c r="K226" s="18"/>
      <c r="L226" s="19">
        <f t="shared" si="2"/>
        <v>455109.39</v>
      </c>
      <c r="M226" s="8"/>
      <c r="N226" s="269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15002.56</v>
      </c>
      <c r="G227" s="18">
        <v>8453.49</v>
      </c>
      <c r="H227" s="18"/>
      <c r="I227" s="18"/>
      <c r="J227" s="18"/>
      <c r="K227" s="18"/>
      <c r="L227" s="19">
        <f>SUM(F227:K227)</f>
        <v>23456.05</v>
      </c>
      <c r="M227" s="8"/>
      <c r="N227" s="269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69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4999570.2999999989</v>
      </c>
      <c r="G229" s="41">
        <f>SUM(G215:G228)</f>
        <v>2817105.8300000005</v>
      </c>
      <c r="H229" s="41">
        <f>SUM(H215:H228)</f>
        <v>1473443.89</v>
      </c>
      <c r="I229" s="41">
        <f>SUM(I215:I228)</f>
        <v>298219.98</v>
      </c>
      <c r="J229" s="41">
        <f>SUM(J215:J228)</f>
        <v>36322.620000000003</v>
      </c>
      <c r="K229" s="41">
        <f t="shared" si="3"/>
        <v>8052.6100000000006</v>
      </c>
      <c r="L229" s="41">
        <f t="shared" si="3"/>
        <v>9632715.2300000023</v>
      </c>
      <c r="M229" s="8"/>
      <c r="N229" s="269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6"/>
      <c r="M230" s="8"/>
      <c r="N230" s="269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69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69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5403379.39-603.97+67477</f>
        <v>5470252.4199999999</v>
      </c>
      <c r="G233" s="18">
        <v>3044299.59</v>
      </c>
      <c r="H233" s="18">
        <v>107796.86</v>
      </c>
      <c r="I233" s="18">
        <v>203002.89</v>
      </c>
      <c r="J233" s="18">
        <v>90347.63</v>
      </c>
      <c r="K233" s="18"/>
      <c r="L233" s="19">
        <f>SUM(F233:K233)</f>
        <v>8915699.3900000006</v>
      </c>
      <c r="M233" s="8"/>
      <c r="N233" s="269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1881953.69</v>
      </c>
      <c r="G234" s="18">
        <v>1060423.67</v>
      </c>
      <c r="H234" s="18">
        <v>2505923.66</v>
      </c>
      <c r="I234" s="18">
        <v>2245.62</v>
      </c>
      <c r="J234" s="18"/>
      <c r="K234" s="18"/>
      <c r="L234" s="19">
        <f>SUM(F234:K234)</f>
        <v>5450546.6399999997</v>
      </c>
      <c r="M234" s="8"/>
      <c r="N234" s="269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37109.68</v>
      </c>
      <c r="G235" s="18">
        <v>1000</v>
      </c>
      <c r="H235" s="18"/>
      <c r="I235" s="18"/>
      <c r="J235" s="18"/>
      <c r="K235" s="18"/>
      <c r="L235" s="19">
        <f>SUM(F235:K235)</f>
        <v>38109.68</v>
      </c>
      <c r="M235" s="8"/>
      <c r="N235" s="269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322881</v>
      </c>
      <c r="G236" s="18">
        <v>181933.62</v>
      </c>
      <c r="H236" s="18">
        <v>61923.41</v>
      </c>
      <c r="I236" s="18">
        <v>87350.76</v>
      </c>
      <c r="J236" s="18">
        <v>4916.8</v>
      </c>
      <c r="K236" s="18">
        <v>13400.97</v>
      </c>
      <c r="L236" s="19">
        <f>SUM(F236:K236)</f>
        <v>672406.56</v>
      </c>
      <c r="M236" s="8"/>
      <c r="N236" s="269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69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557254.56000000006</v>
      </c>
      <c r="G238" s="18">
        <v>313996</v>
      </c>
      <c r="H238" s="18">
        <v>222720.45</v>
      </c>
      <c r="I238" s="18">
        <v>2181.59</v>
      </c>
      <c r="J238" s="18"/>
      <c r="K238" s="18"/>
      <c r="L238" s="19">
        <f t="shared" ref="L238:L244" si="4">SUM(F238:K238)</f>
        <v>1096152.6000000001</v>
      </c>
      <c r="M238" s="8"/>
      <c r="N238" s="269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275664.88</v>
      </c>
      <c r="G239" s="18">
        <v>155328.78</v>
      </c>
      <c r="H239" s="18">
        <v>3391.3</v>
      </c>
      <c r="I239" s="18">
        <v>62100</v>
      </c>
      <c r="J239" s="18">
        <v>5651.13</v>
      </c>
      <c r="K239" s="18">
        <v>317.56</v>
      </c>
      <c r="L239" s="19">
        <f t="shared" si="4"/>
        <v>502453.65</v>
      </c>
      <c r="M239" s="8"/>
      <c r="N239" s="269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256730.37</v>
      </c>
      <c r="G240" s="18">
        <v>144659.76</v>
      </c>
      <c r="H240" s="18">
        <v>144460.35</v>
      </c>
      <c r="I240" s="18">
        <v>8748.68</v>
      </c>
      <c r="J240" s="18">
        <v>5066.53</v>
      </c>
      <c r="K240" s="18">
        <v>7749.84</v>
      </c>
      <c r="L240" s="19">
        <f t="shared" si="4"/>
        <v>567415.53</v>
      </c>
      <c r="M240" s="8"/>
      <c r="N240" s="269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462482.86</v>
      </c>
      <c r="G241" s="18">
        <v>260595.03</v>
      </c>
      <c r="H241" s="18">
        <v>47147.48</v>
      </c>
      <c r="I241" s="18">
        <v>9039.51</v>
      </c>
      <c r="J241" s="4"/>
      <c r="K241" s="18">
        <v>37766.93</v>
      </c>
      <c r="L241" s="19">
        <f>SUM(F241:K241)</f>
        <v>817031.81</v>
      </c>
      <c r="M241" s="8"/>
      <c r="N241" s="269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115650.21</v>
      </c>
      <c r="G242" s="18">
        <v>65165.38</v>
      </c>
      <c r="H242" s="18">
        <v>45684.09</v>
      </c>
      <c r="I242" s="18"/>
      <c r="J242" s="18"/>
      <c r="K242" s="18">
        <v>2733.13</v>
      </c>
      <c r="L242" s="19">
        <f t="shared" si="4"/>
        <v>229232.81</v>
      </c>
      <c r="M242" s="8"/>
      <c r="N242" s="269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493236</v>
      </c>
      <c r="G243" s="18">
        <v>277923.49</v>
      </c>
      <c r="H243" s="18">
        <v>252443.98</v>
      </c>
      <c r="I243" s="18">
        <v>372158.56</v>
      </c>
      <c r="J243" s="18">
        <v>3538.47</v>
      </c>
      <c r="K243" s="18"/>
      <c r="L243" s="19">
        <f t="shared" si="4"/>
        <v>1399300.5</v>
      </c>
      <c r="M243" s="8"/>
      <c r="N243" s="269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17106.93</v>
      </c>
      <c r="G244" s="18">
        <v>9639.23</v>
      </c>
      <c r="H244" s="18">
        <v>1410612.29</v>
      </c>
      <c r="I244" s="18"/>
      <c r="J244" s="18"/>
      <c r="K244" s="18"/>
      <c r="L244" s="19">
        <f t="shared" si="4"/>
        <v>1437358.45</v>
      </c>
      <c r="M244" s="8"/>
      <c r="N244" s="269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31880.44</v>
      </c>
      <c r="G245" s="18">
        <v>17963.66</v>
      </c>
      <c r="H245" s="18"/>
      <c r="I245" s="18"/>
      <c r="J245" s="18"/>
      <c r="K245" s="18"/>
      <c r="L245" s="19">
        <f>SUM(F245:K245)</f>
        <v>49844.1</v>
      </c>
      <c r="M245" s="8"/>
      <c r="N245" s="269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69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9922203.0399999991</v>
      </c>
      <c r="G247" s="41">
        <f t="shared" si="5"/>
        <v>5532928.2100000009</v>
      </c>
      <c r="H247" s="41">
        <f t="shared" si="5"/>
        <v>4802103.87</v>
      </c>
      <c r="I247" s="41">
        <f t="shared" si="5"/>
        <v>746827.6100000001</v>
      </c>
      <c r="J247" s="41">
        <f t="shared" si="5"/>
        <v>109520.56000000001</v>
      </c>
      <c r="K247" s="41">
        <f t="shared" si="5"/>
        <v>61968.43</v>
      </c>
      <c r="L247" s="41">
        <f t="shared" si="5"/>
        <v>21175551.719999999</v>
      </c>
      <c r="M247" s="8"/>
      <c r="N247" s="269"/>
    </row>
    <row r="248" spans="1:14" s="3" customFormat="1" ht="12" customHeight="1" x14ac:dyDescent="0.15">
      <c r="A248" s="69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6"/>
      <c r="M248" s="8"/>
      <c r="N248" s="269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69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69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f>5592.9-1252</f>
        <v>4340.8999999999996</v>
      </c>
      <c r="G251" s="18">
        <v>2445.9699999999998</v>
      </c>
      <c r="H251" s="18"/>
      <c r="I251" s="18">
        <v>1405.76</v>
      </c>
      <c r="J251" s="18"/>
      <c r="K251" s="18"/>
      <c r="L251" s="19">
        <f t="shared" si="6"/>
        <v>8192.6299999999992</v>
      </c>
      <c r="M251" s="8"/>
      <c r="N251" s="269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9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9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997165.45</v>
      </c>
      <c r="I255" s="18"/>
      <c r="J255" s="18"/>
      <c r="K255" s="18"/>
      <c r="L255" s="19">
        <f t="shared" si="6"/>
        <v>997165.45</v>
      </c>
      <c r="M255" s="8"/>
      <c r="N255" s="269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4340.8999999999996</v>
      </c>
      <c r="G256" s="41">
        <f t="shared" si="7"/>
        <v>2445.9699999999998</v>
      </c>
      <c r="H256" s="41">
        <f t="shared" si="7"/>
        <v>997165.45</v>
      </c>
      <c r="I256" s="41">
        <f t="shared" si="7"/>
        <v>1405.76</v>
      </c>
      <c r="J256" s="41">
        <f t="shared" si="7"/>
        <v>0</v>
      </c>
      <c r="K256" s="41">
        <f t="shared" si="7"/>
        <v>0</v>
      </c>
      <c r="L256" s="41">
        <f>SUM(F256:K256)</f>
        <v>1005358.08</v>
      </c>
      <c r="M256" s="8"/>
      <c r="N256" s="269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30144529.989999995</v>
      </c>
      <c r="G257" s="41">
        <f t="shared" si="8"/>
        <v>16927594.460000001</v>
      </c>
      <c r="H257" s="41">
        <f t="shared" si="8"/>
        <v>11109103.449999999</v>
      </c>
      <c r="I257" s="41">
        <f t="shared" si="8"/>
        <v>2048424.44</v>
      </c>
      <c r="J257" s="41">
        <f t="shared" si="8"/>
        <v>277132.62</v>
      </c>
      <c r="K257" s="41">
        <f t="shared" si="8"/>
        <v>93743.91</v>
      </c>
      <c r="L257" s="41">
        <f t="shared" si="8"/>
        <v>60600528.869999997</v>
      </c>
      <c r="M257" s="8"/>
      <c r="N257" s="269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69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69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1070000</v>
      </c>
      <c r="L260" s="19">
        <f>SUM(F260:K260)</f>
        <v>1070000</v>
      </c>
      <c r="M260" s="8"/>
      <c r="N260" s="269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467777.5-0.37+0.07</f>
        <v>467777.2</v>
      </c>
      <c r="L261" s="19">
        <f>SUM(F261:K261)</f>
        <v>467777.2</v>
      </c>
      <c r="N261" s="18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271"/>
      <c r="L263" s="19">
        <f>SUM(F263:K263)</f>
        <v>0</v>
      </c>
      <c r="N263" s="18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1537777.2</v>
      </c>
      <c r="L270" s="41">
        <f t="shared" si="9"/>
        <v>1537777.2</v>
      </c>
      <c r="N270" s="18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30144529.989999995</v>
      </c>
      <c r="G271" s="42">
        <f t="shared" si="11"/>
        <v>16927594.460000001</v>
      </c>
      <c r="H271" s="42">
        <f t="shared" si="11"/>
        <v>11109103.449999999</v>
      </c>
      <c r="I271" s="42">
        <f t="shared" si="11"/>
        <v>2048424.44</v>
      </c>
      <c r="J271" s="42">
        <f t="shared" si="11"/>
        <v>277132.62</v>
      </c>
      <c r="K271" s="42">
        <f t="shared" si="11"/>
        <v>1631521.1099999999</v>
      </c>
      <c r="L271" s="42">
        <f t="shared" si="11"/>
        <v>62138306.07</v>
      </c>
      <c r="M271" s="8"/>
      <c r="N271" s="269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9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69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69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69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133308-23454</f>
        <v>109854</v>
      </c>
      <c r="G276" s="18">
        <v>23454</v>
      </c>
      <c r="H276" s="18">
        <v>195</v>
      </c>
      <c r="I276" s="18">
        <v>1939.93</v>
      </c>
      <c r="J276" s="18"/>
      <c r="K276" s="18"/>
      <c r="L276" s="19">
        <f>SUM(F276:K276)</f>
        <v>135442.93</v>
      </c>
      <c r="M276" s="8"/>
      <c r="N276" s="269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95673.4-15222</f>
        <v>80451.399999999994</v>
      </c>
      <c r="G277" s="18">
        <v>15222</v>
      </c>
      <c r="H277" s="18"/>
      <c r="I277" s="18"/>
      <c r="J277" s="18"/>
      <c r="K277" s="18"/>
      <c r="L277" s="19">
        <f>SUM(F277:K277)</f>
        <v>95673.4</v>
      </c>
      <c r="M277" s="8"/>
      <c r="N277" s="269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69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>
        <v>269.13</v>
      </c>
      <c r="I279" s="18"/>
      <c r="J279" s="18"/>
      <c r="K279" s="18"/>
      <c r="L279" s="19">
        <f>SUM(F279:K279)</f>
        <v>269.13</v>
      </c>
      <c r="M279" s="8"/>
      <c r="N279" s="269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69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24231</v>
      </c>
      <c r="G281" s="18">
        <v>1035.1099999999999</v>
      </c>
      <c r="H281" s="18">
        <v>271473.96000000002</v>
      </c>
      <c r="I281" s="18">
        <v>1762.2</v>
      </c>
      <c r="J281" s="18"/>
      <c r="K281" s="18"/>
      <c r="L281" s="19">
        <f t="shared" ref="L281:L287" si="12">SUM(F281:K281)</f>
        <v>298502.27</v>
      </c>
      <c r="M281" s="8"/>
      <c r="N281" s="269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31409.51</v>
      </c>
      <c r="G282" s="18">
        <v>6268.23</v>
      </c>
      <c r="H282" s="18">
        <v>49464.58</v>
      </c>
      <c r="I282" s="18">
        <v>24987.75</v>
      </c>
      <c r="J282" s="18">
        <v>21007.16</v>
      </c>
      <c r="K282" s="18">
        <v>300</v>
      </c>
      <c r="L282" s="19">
        <f>SUM(F282:K282)</f>
        <v>133437.23000000001</v>
      </c>
      <c r="M282" s="8"/>
      <c r="N282" s="269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69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69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69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69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245945.91</v>
      </c>
      <c r="G290" s="42">
        <f t="shared" si="13"/>
        <v>45979.34</v>
      </c>
      <c r="H290" s="42">
        <f t="shared" si="13"/>
        <v>321402.67000000004</v>
      </c>
      <c r="I290" s="42">
        <f t="shared" si="13"/>
        <v>28689.88</v>
      </c>
      <c r="J290" s="42">
        <f t="shared" si="13"/>
        <v>21007.16</v>
      </c>
      <c r="K290" s="42">
        <f t="shared" si="13"/>
        <v>300</v>
      </c>
      <c r="L290" s="41">
        <f t="shared" si="13"/>
        <v>663324.96</v>
      </c>
      <c r="M290" s="8"/>
      <c r="N290" s="269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69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69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69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69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4">
        <f>34872-9850</f>
        <v>25022</v>
      </c>
      <c r="G295" s="4">
        <v>9850</v>
      </c>
      <c r="H295" s="4"/>
      <c r="I295" s="4">
        <v>7095.67</v>
      </c>
      <c r="J295" s="18">
        <v>948</v>
      </c>
      <c r="K295" s="18"/>
      <c r="L295" s="19">
        <f>SUM(F295:K295)</f>
        <v>42915.67</v>
      </c>
      <c r="M295" s="8"/>
      <c r="N295" s="269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30615.49-7850</f>
        <v>22765.49</v>
      </c>
      <c r="G296" s="18">
        <v>7850</v>
      </c>
      <c r="H296" s="18"/>
      <c r="I296" s="18"/>
      <c r="J296" s="18"/>
      <c r="K296" s="18"/>
      <c r="L296" s="19">
        <f>SUM(F296:K296)</f>
        <v>30615.49</v>
      </c>
      <c r="M296" s="8"/>
      <c r="N296" s="269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69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>
        <v>86.12</v>
      </c>
      <c r="I298" s="18"/>
      <c r="J298" s="18"/>
      <c r="K298" s="18"/>
      <c r="L298" s="19">
        <f>SUM(F298:K298)</f>
        <v>86.12</v>
      </c>
      <c r="M298" s="8"/>
      <c r="N298" s="269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69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7073.92</v>
      </c>
      <c r="G300" s="18">
        <v>1011.23</v>
      </c>
      <c r="H300" s="18">
        <v>86941.92</v>
      </c>
      <c r="I300" s="18">
        <v>905.88</v>
      </c>
      <c r="J300" s="18"/>
      <c r="K300" s="18"/>
      <c r="L300" s="19">
        <f t="shared" ref="L300:L306" si="14">SUM(F300:K300)</f>
        <v>95932.95</v>
      </c>
      <c r="M300" s="8"/>
      <c r="N300" s="269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10051.040000000001</v>
      </c>
      <c r="G301" s="18">
        <v>2005.81</v>
      </c>
      <c r="H301" s="18">
        <v>15828.66</v>
      </c>
      <c r="I301" s="18">
        <v>7596.72</v>
      </c>
      <c r="J301" s="18">
        <v>6722.29</v>
      </c>
      <c r="K301" s="18">
        <v>96</v>
      </c>
      <c r="L301" s="19">
        <f t="shared" si="14"/>
        <v>42300.520000000004</v>
      </c>
      <c r="M301" s="8"/>
      <c r="N301" s="269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87250</v>
      </c>
      <c r="G305" s="18">
        <v>20823.18</v>
      </c>
      <c r="H305" s="18">
        <v>29545.65</v>
      </c>
      <c r="I305" s="18">
        <v>1571.22</v>
      </c>
      <c r="J305" s="18"/>
      <c r="K305" s="18"/>
      <c r="L305" s="19">
        <f t="shared" si="14"/>
        <v>139190.04999999999</v>
      </c>
      <c r="M305" s="8"/>
      <c r="N305" s="269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69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69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69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>SUM(F282:F308)</f>
        <v>429517.86999999994</v>
      </c>
      <c r="G309" s="42">
        <f>SUM(G282:G308)</f>
        <v>93787.789999999979</v>
      </c>
      <c r="H309" s="42">
        <f>SUM(H282:H308)</f>
        <v>503269.60000000003</v>
      </c>
      <c r="I309" s="42">
        <f>SUM(I282:I308)</f>
        <v>70847.12</v>
      </c>
      <c r="J309" s="42">
        <f>SUM(J295:J308)</f>
        <v>7670.29</v>
      </c>
      <c r="K309" s="42">
        <f>SUM(K295:K308)</f>
        <v>96</v>
      </c>
      <c r="L309" s="41">
        <f>SUM(L295:L308)</f>
        <v>351040.8</v>
      </c>
      <c r="N309" s="180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69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69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69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69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287.75</v>
      </c>
      <c r="J314" s="18"/>
      <c r="K314" s="18"/>
      <c r="L314" s="19">
        <f>SUM(F314:K314)</f>
        <v>287.75</v>
      </c>
      <c r="M314" s="8"/>
      <c r="N314" s="269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65057.91-12563+39859.63</f>
        <v>92354.540000000008</v>
      </c>
      <c r="G315" s="18">
        <v>12563</v>
      </c>
      <c r="H315" s="18"/>
      <c r="I315" s="18"/>
      <c r="J315" s="18"/>
      <c r="K315" s="18"/>
      <c r="L315" s="19">
        <f>SUM(F315:K315)</f>
        <v>104917.54000000001</v>
      </c>
      <c r="M315" s="8"/>
      <c r="N315" s="269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69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>
        <v>183</v>
      </c>
      <c r="I317" s="18"/>
      <c r="J317" s="18"/>
      <c r="K317" s="18"/>
      <c r="L317" s="19">
        <f>SUM(F317:K317)</f>
        <v>183</v>
      </c>
      <c r="M317" s="8"/>
      <c r="N317" s="269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69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16157.08</v>
      </c>
      <c r="G319" s="18">
        <v>1023.88</v>
      </c>
      <c r="H319" s="18">
        <v>184602.29</v>
      </c>
      <c r="I319" s="18">
        <v>1198.29</v>
      </c>
      <c r="J319" s="18"/>
      <c r="K319" s="18"/>
      <c r="L319" s="19">
        <f t="shared" ref="L319:L325" si="15">SUM(F319:K319)</f>
        <v>202981.54</v>
      </c>
      <c r="M319" s="8"/>
      <c r="N319" s="269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21358.46</v>
      </c>
      <c r="G320" s="18">
        <v>4262.38</v>
      </c>
      <c r="H320" s="18">
        <v>36135.910000000003</v>
      </c>
      <c r="I320" s="18">
        <v>16143</v>
      </c>
      <c r="J320" s="18">
        <v>14284.86</v>
      </c>
      <c r="K320" s="18">
        <v>204</v>
      </c>
      <c r="L320" s="19">
        <f t="shared" si="15"/>
        <v>92388.61</v>
      </c>
      <c r="M320" s="8"/>
      <c r="N320" s="269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5"/>
        <v>0</v>
      </c>
      <c r="M321" s="8"/>
      <c r="N321" s="269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5"/>
        <v>0</v>
      </c>
      <c r="M322" s="8"/>
      <c r="N322" s="269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5"/>
        <v>0</v>
      </c>
      <c r="M323" s="8"/>
      <c r="N323" s="269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5"/>
        <v>0</v>
      </c>
      <c r="M324" s="8"/>
      <c r="N324" s="269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5"/>
        <v>0</v>
      </c>
      <c r="M325" s="8"/>
      <c r="N325" s="269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69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69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6">SUM(F314:F327)</f>
        <v>129870.08000000002</v>
      </c>
      <c r="G328" s="42">
        <f t="shared" si="16"/>
        <v>17849.259999999998</v>
      </c>
      <c r="H328" s="42">
        <f t="shared" si="16"/>
        <v>220921.2</v>
      </c>
      <c r="I328" s="42">
        <f t="shared" si="16"/>
        <v>17629.04</v>
      </c>
      <c r="J328" s="42">
        <f t="shared" si="16"/>
        <v>14284.86</v>
      </c>
      <c r="K328" s="42">
        <f t="shared" si="16"/>
        <v>204</v>
      </c>
      <c r="L328" s="41">
        <f t="shared" si="16"/>
        <v>400758.44</v>
      </c>
      <c r="M328" s="8"/>
      <c r="N328" s="269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69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69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69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7">SUM(F332:K332)</f>
        <v>0</v>
      </c>
      <c r="M332" s="8"/>
      <c r="N332" s="269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>
        <v>13200</v>
      </c>
      <c r="I333" s="18"/>
      <c r="J333" s="18"/>
      <c r="K333" s="18"/>
      <c r="L333" s="19">
        <f t="shared" si="17"/>
        <v>13200</v>
      </c>
      <c r="M333" s="8"/>
      <c r="N333" s="269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7"/>
        <v>0</v>
      </c>
      <c r="M334" s="8"/>
      <c r="N334" s="269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7"/>
        <v>0</v>
      </c>
      <c r="M335" s="8"/>
      <c r="N335" s="269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7"/>
        <v>0</v>
      </c>
      <c r="M336" s="8"/>
      <c r="N336" s="269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8">SUM(F332:F336)</f>
        <v>0</v>
      </c>
      <c r="G337" s="41">
        <f t="shared" si="18"/>
        <v>0</v>
      </c>
      <c r="H337" s="41">
        <f t="shared" si="18"/>
        <v>13200</v>
      </c>
      <c r="I337" s="41">
        <f t="shared" si="18"/>
        <v>0</v>
      </c>
      <c r="J337" s="41">
        <f t="shared" si="18"/>
        <v>0</v>
      </c>
      <c r="K337" s="41">
        <f t="shared" si="18"/>
        <v>0</v>
      </c>
      <c r="L337" s="41">
        <f t="shared" si="17"/>
        <v>13200</v>
      </c>
      <c r="M337" s="8"/>
      <c r="N337" s="269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19">F290+F309+F328+F337</f>
        <v>805333.85999999987</v>
      </c>
      <c r="G338" s="41">
        <f t="shared" si="19"/>
        <v>157616.38999999998</v>
      </c>
      <c r="H338" s="41">
        <f t="shared" si="19"/>
        <v>1058793.47</v>
      </c>
      <c r="I338" s="41">
        <f t="shared" si="19"/>
        <v>117166.04000000001</v>
      </c>
      <c r="J338" s="41">
        <f t="shared" si="19"/>
        <v>42962.31</v>
      </c>
      <c r="K338" s="41">
        <f t="shared" si="19"/>
        <v>600</v>
      </c>
      <c r="L338" s="41">
        <f t="shared" si="19"/>
        <v>1428324.2</v>
      </c>
      <c r="M338" s="8"/>
      <c r="N338" s="269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69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69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69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69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6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0">SUM(F344:K344)</f>
        <v>0</v>
      </c>
      <c r="M344" s="8"/>
      <c r="N344" s="269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0"/>
        <v>0</v>
      </c>
      <c r="M345" s="8"/>
      <c r="N345" s="269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0"/>
        <v>0</v>
      </c>
      <c r="M346" s="8"/>
      <c r="N346" s="269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0"/>
        <v>0</v>
      </c>
      <c r="M347" s="8"/>
      <c r="N347" s="269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69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0"/>
        <v>0</v>
      </c>
      <c r="M349" s="8"/>
      <c r="N349" s="269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0"/>
        <v>0</v>
      </c>
      <c r="M350" s="8"/>
      <c r="N350" s="269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69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805333.85999999987</v>
      </c>
      <c r="G352" s="41">
        <f>G338</f>
        <v>157616.38999999998</v>
      </c>
      <c r="H352" s="41">
        <f>H338</f>
        <v>1058793.47</v>
      </c>
      <c r="I352" s="41">
        <f>I338</f>
        <v>117166.04000000001</v>
      </c>
      <c r="J352" s="41">
        <f>J338</f>
        <v>42962.31</v>
      </c>
      <c r="K352" s="47">
        <f>K338+K351</f>
        <v>600</v>
      </c>
      <c r="L352" s="41">
        <f>L338+L351</f>
        <v>1428324.2</v>
      </c>
      <c r="M352" s="52"/>
      <c r="N352" s="216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69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69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69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69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245229.92</v>
      </c>
      <c r="G358" s="18"/>
      <c r="H358" s="18">
        <v>10155.75</v>
      </c>
      <c r="I358" s="18">
        <v>289029.61</v>
      </c>
      <c r="J358" s="18">
        <v>2229.7600000000002</v>
      </c>
      <c r="K358" s="18">
        <v>864.35</v>
      </c>
      <c r="L358" s="13">
        <f>SUM(F358:K358)</f>
        <v>547509.39</v>
      </c>
      <c r="N358" s="18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105780.05</v>
      </c>
      <c r="G359" s="18"/>
      <c r="H359" s="18">
        <v>3249.84</v>
      </c>
      <c r="I359" s="18">
        <v>92489.47</v>
      </c>
      <c r="J359" s="18">
        <v>713.52300000000002</v>
      </c>
      <c r="K359" s="18">
        <v>276.58999999999997</v>
      </c>
      <c r="L359" s="19">
        <f>SUM(F359:K359)</f>
        <v>202509.47299999997</v>
      </c>
      <c r="M359" s="8"/>
      <c r="N359" s="269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222929.53</v>
      </c>
      <c r="G360" s="18"/>
      <c r="H360" s="18">
        <v>6905.91</v>
      </c>
      <c r="I360" s="18">
        <v>196540.13</v>
      </c>
      <c r="J360" s="18">
        <v>1516.24</v>
      </c>
      <c r="K360" s="18">
        <v>587.76</v>
      </c>
      <c r="L360" s="19">
        <f>SUM(F360:K360)</f>
        <v>428479.57</v>
      </c>
      <c r="M360" s="8"/>
      <c r="N360" s="269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69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1">SUM(F358:F361)</f>
        <v>573939.5</v>
      </c>
      <c r="G362" s="47">
        <f t="shared" si="21"/>
        <v>0</v>
      </c>
      <c r="H362" s="47">
        <f t="shared" si="21"/>
        <v>20311.5</v>
      </c>
      <c r="I362" s="47">
        <f t="shared" si="21"/>
        <v>578059.21</v>
      </c>
      <c r="J362" s="47">
        <f t="shared" si="21"/>
        <v>4459.5230000000001</v>
      </c>
      <c r="K362" s="47">
        <f t="shared" si="21"/>
        <v>1728.7</v>
      </c>
      <c r="L362" s="47">
        <f t="shared" si="21"/>
        <v>1178498.433</v>
      </c>
      <c r="M362" s="8"/>
      <c r="N362" s="269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9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69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22" s="3" customFormat="1" ht="12" customHeight="1" x14ac:dyDescent="0.2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272">
        <v>256347.03</v>
      </c>
      <c r="G367" s="272">
        <v>82031.05</v>
      </c>
      <c r="H367" s="272">
        <v>174315.98</v>
      </c>
      <c r="I367" s="56">
        <f>SUM(F367:H367)</f>
        <v>512694.06000000006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22" s="3" customFormat="1" ht="12" customHeight="1" thickBot="1" x14ac:dyDescent="0.25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272">
        <v>32682.58</v>
      </c>
      <c r="G368" s="272">
        <v>10458.42</v>
      </c>
      <c r="H368" s="272">
        <v>22224.15</v>
      </c>
      <c r="I368" s="56">
        <f>SUM(F368:H368)</f>
        <v>65365.15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289029.61</v>
      </c>
      <c r="G369" s="47">
        <f>SUM(G367:G368)</f>
        <v>92489.47</v>
      </c>
      <c r="H369" s="47">
        <f>SUM(H367:H368)</f>
        <v>196540.13</v>
      </c>
      <c r="I369" s="47">
        <f>SUM(I367:I368)</f>
        <v>578059.21000000008</v>
      </c>
      <c r="J369" s="24" t="s">
        <v>289</v>
      </c>
      <c r="K369" s="24" t="s">
        <v>289</v>
      </c>
      <c r="L369" s="24" t="s">
        <v>289</v>
      </c>
      <c r="M369" s="8"/>
      <c r="N369" s="269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69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69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69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69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69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2">SUM(F375:K375)</f>
        <v>0</v>
      </c>
      <c r="M375" s="8"/>
      <c r="N375" s="269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2"/>
        <v>0</v>
      </c>
      <c r="M376" s="8"/>
      <c r="N376" s="269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2"/>
        <v>0</v>
      </c>
      <c r="M377" s="8"/>
      <c r="N377" s="269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2"/>
        <v>0</v>
      </c>
      <c r="M378" s="8"/>
      <c r="N378" s="269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2"/>
        <v>0</v>
      </c>
      <c r="M379" s="8"/>
      <c r="N379" s="269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2"/>
        <v>0</v>
      </c>
      <c r="M380" s="8"/>
      <c r="N380" s="269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2"/>
        <v>0</v>
      </c>
      <c r="M381" s="8"/>
      <c r="N381" s="269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0</v>
      </c>
      <c r="G382" s="138">
        <f t="shared" ref="G382:L382" si="23">SUM(G374:G381)</f>
        <v>0</v>
      </c>
      <c r="H382" s="138">
        <f t="shared" si="23"/>
        <v>0</v>
      </c>
      <c r="I382" s="41">
        <f t="shared" si="23"/>
        <v>0</v>
      </c>
      <c r="J382" s="47">
        <f t="shared" si="23"/>
        <v>0</v>
      </c>
      <c r="K382" s="47">
        <f t="shared" si="23"/>
        <v>0</v>
      </c>
      <c r="L382" s="47">
        <f t="shared" si="23"/>
        <v>0</v>
      </c>
      <c r="M382" s="8"/>
      <c r="N382" s="269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69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69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4">SUM(F387:K387)</f>
        <v>0</v>
      </c>
      <c r="M387" s="8"/>
      <c r="N387" s="269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4"/>
        <v>0</v>
      </c>
      <c r="M388" s="8"/>
      <c r="N388" s="269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f>319.09+100</f>
        <v>419.09</v>
      </c>
      <c r="I389" s="18"/>
      <c r="J389" s="24" t="s">
        <v>289</v>
      </c>
      <c r="K389" s="24" t="s">
        <v>289</v>
      </c>
      <c r="L389" s="56">
        <f t="shared" si="24"/>
        <v>419.09</v>
      </c>
      <c r="M389" s="8"/>
      <c r="N389" s="269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4"/>
        <v>0</v>
      </c>
      <c r="M390" s="8"/>
      <c r="N390" s="269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4"/>
        <v>0</v>
      </c>
      <c r="M391" s="8"/>
      <c r="N391" s="269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f>108+90</f>
        <v>198</v>
      </c>
      <c r="I392" s="18"/>
      <c r="J392" s="24" t="s">
        <v>289</v>
      </c>
      <c r="K392" s="24" t="s">
        <v>289</v>
      </c>
      <c r="L392" s="56">
        <f t="shared" si="24"/>
        <v>198</v>
      </c>
      <c r="M392" s="8"/>
      <c r="N392" s="269"/>
    </row>
    <row r="393" spans="1:14" s="3" customFormat="1" ht="12" customHeight="1" thickTop="1" x14ac:dyDescent="0.15">
      <c r="A393" s="159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617.08999999999992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617.08999999999992</v>
      </c>
      <c r="M393" s="8"/>
      <c r="N393" s="269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69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5">SUM(F395:K395)</f>
        <v>0</v>
      </c>
      <c r="M395" s="8"/>
      <c r="N395" s="269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f>147.58</f>
        <v>147.58000000000001</v>
      </c>
      <c r="I396" s="18"/>
      <c r="J396" s="24" t="s">
        <v>289</v>
      </c>
      <c r="K396" s="24" t="s">
        <v>289</v>
      </c>
      <c r="L396" s="56">
        <f t="shared" si="25"/>
        <v>147.58000000000001</v>
      </c>
      <c r="M396" s="8"/>
      <c r="N396" s="269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5199.2</v>
      </c>
      <c r="I397" s="18"/>
      <c r="J397" s="24" t="s">
        <v>289</v>
      </c>
      <c r="K397" s="24" t="s">
        <v>289</v>
      </c>
      <c r="L397" s="56">
        <f t="shared" si="25"/>
        <v>5199.2</v>
      </c>
      <c r="M397" s="8"/>
      <c r="N397" s="269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5"/>
        <v>0</v>
      </c>
      <c r="M398" s="8"/>
      <c r="N398" s="269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5"/>
        <v>0</v>
      </c>
      <c r="M399" s="8"/>
      <c r="N399" s="269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5"/>
        <v>0</v>
      </c>
      <c r="M400" s="8"/>
      <c r="N400" s="269"/>
    </row>
    <row r="401" spans="1:21" s="3" customFormat="1" ht="12" customHeight="1" thickTop="1" x14ac:dyDescent="0.15">
      <c r="A401" s="159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5346.78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5346.78</v>
      </c>
      <c r="M401" s="8"/>
      <c r="N401" s="269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69"/>
    </row>
    <row r="403" spans="1:21" s="3" customFormat="1" ht="12" customHeight="1" x14ac:dyDescent="0.15">
      <c r="A403" s="109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69"/>
    </row>
    <row r="407" spans="1:21" s="3" customFormat="1" ht="12" customHeight="1" thickTop="1" thickBot="1" x14ac:dyDescent="0.2">
      <c r="A407" s="159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69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5963.87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5963.87</v>
      </c>
      <c r="M408" s="8"/>
      <c r="N408" s="269"/>
    </row>
    <row r="409" spans="1:21" s="3" customFormat="1" ht="12" customHeight="1" x14ac:dyDescent="0.15">
      <c r="A409" s="77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69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69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69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69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6">SUM(F413:K413)</f>
        <v>0</v>
      </c>
      <c r="M413" s="8"/>
      <c r="N413" s="269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6"/>
        <v>0</v>
      </c>
      <c r="M414" s="52"/>
      <c r="N414" s="216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6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6"/>
        <v>0</v>
      </c>
      <c r="M416" s="8"/>
      <c r="N416" s="269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6"/>
        <v>0</v>
      </c>
      <c r="M417" s="8"/>
      <c r="N417" s="269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6"/>
        <v>0</v>
      </c>
      <c r="M418" s="8"/>
      <c r="N418" s="269"/>
    </row>
    <row r="419" spans="1:21" s="3" customFormat="1" ht="12" customHeight="1" thickTop="1" x14ac:dyDescent="0.15">
      <c r="A419" s="159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7">SUM(F413:F418)</f>
        <v>0</v>
      </c>
      <c r="G419" s="138">
        <f t="shared" si="27"/>
        <v>0</v>
      </c>
      <c r="H419" s="138">
        <f t="shared" si="27"/>
        <v>0</v>
      </c>
      <c r="I419" s="138">
        <f t="shared" si="27"/>
        <v>0</v>
      </c>
      <c r="J419" s="138">
        <f t="shared" si="27"/>
        <v>0</v>
      </c>
      <c r="K419" s="138">
        <f t="shared" si="27"/>
        <v>0</v>
      </c>
      <c r="L419" s="47">
        <f t="shared" si="27"/>
        <v>0</v>
      </c>
      <c r="M419" s="8"/>
      <c r="N419" s="269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69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8">SUM(F421:K421)</f>
        <v>0</v>
      </c>
      <c r="M421" s="8"/>
      <c r="N421" s="269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8"/>
        <v>0</v>
      </c>
      <c r="M422" s="8"/>
      <c r="N422" s="269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8"/>
        <v>0</v>
      </c>
      <c r="M423" s="8"/>
      <c r="N423" s="269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8"/>
        <v>0</v>
      </c>
      <c r="M424" s="8"/>
      <c r="N424" s="269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8"/>
        <v>0</v>
      </c>
      <c r="M425" s="8"/>
      <c r="N425" s="269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8"/>
        <v>0</v>
      </c>
      <c r="M426" s="8"/>
      <c r="N426" s="269"/>
    </row>
    <row r="427" spans="1:21" s="3" customFormat="1" ht="12" customHeight="1" thickTop="1" x14ac:dyDescent="0.15">
      <c r="A427" s="159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29">SUM(F421:F426)</f>
        <v>0</v>
      </c>
      <c r="G427" s="47">
        <f t="shared" si="29"/>
        <v>0</v>
      </c>
      <c r="H427" s="47">
        <f t="shared" si="29"/>
        <v>0</v>
      </c>
      <c r="I427" s="47">
        <f t="shared" si="29"/>
        <v>0</v>
      </c>
      <c r="J427" s="47">
        <f t="shared" si="29"/>
        <v>0</v>
      </c>
      <c r="K427" s="47">
        <f t="shared" si="29"/>
        <v>0</v>
      </c>
      <c r="L427" s="47">
        <f t="shared" si="29"/>
        <v>0</v>
      </c>
      <c r="M427" s="8"/>
      <c r="N427" s="269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7"/>
      <c r="N429" s="226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7"/>
      <c r="N430" s="226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0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9"/>
    </row>
    <row r="433" spans="1:14" s="3" customFormat="1" ht="12" customHeight="1" thickTop="1" thickBot="1" x14ac:dyDescent="0.2">
      <c r="A433" s="159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0">SUM(F429:F432)</f>
        <v>0</v>
      </c>
      <c r="G433" s="47">
        <f t="shared" si="30"/>
        <v>0</v>
      </c>
      <c r="H433" s="47">
        <f t="shared" si="30"/>
        <v>0</v>
      </c>
      <c r="I433" s="47">
        <f t="shared" si="30"/>
        <v>0</v>
      </c>
      <c r="J433" s="47">
        <f t="shared" si="30"/>
        <v>0</v>
      </c>
      <c r="K433" s="47">
        <f t="shared" si="30"/>
        <v>0</v>
      </c>
      <c r="L433" s="47">
        <f t="shared" si="30"/>
        <v>0</v>
      </c>
      <c r="M433" s="8"/>
      <c r="N433" s="269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1">F419+F427+F433</f>
        <v>0</v>
      </c>
      <c r="G434" s="47">
        <f t="shared" si="31"/>
        <v>0</v>
      </c>
      <c r="H434" s="47">
        <f t="shared" si="31"/>
        <v>0</v>
      </c>
      <c r="I434" s="47">
        <f t="shared" si="31"/>
        <v>0</v>
      </c>
      <c r="J434" s="47">
        <f t="shared" si="31"/>
        <v>0</v>
      </c>
      <c r="K434" s="47">
        <f t="shared" si="31"/>
        <v>0</v>
      </c>
      <c r="L434" s="47">
        <f t="shared" si="31"/>
        <v>0</v>
      </c>
      <c r="M434" s="8"/>
      <c r="N434" s="269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9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9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9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2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2"/>
        <v>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2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663866.72</v>
      </c>
      <c r="G442" s="18"/>
      <c r="H442" s="18"/>
      <c r="I442" s="56">
        <f t="shared" si="32"/>
        <v>663866.72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2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2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2"/>
        <v>0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663866.72</v>
      </c>
      <c r="G446" s="13">
        <f>SUM(G439:G445)</f>
        <v>0</v>
      </c>
      <c r="H446" s="13">
        <f>SUM(H439:H445)</f>
        <v>0</v>
      </c>
      <c r="I446" s="13">
        <f>SUM(I439:I445)</f>
        <v>663866.72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0</v>
      </c>
      <c r="G452" s="71">
        <f>SUM(G448:G451)</f>
        <v>0</v>
      </c>
      <c r="H452" s="71">
        <f>SUM(H448:H451)</f>
        <v>0</v>
      </c>
      <c r="I452" s="71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3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69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3"/>
        <v>0</v>
      </c>
      <c r="J455" s="24"/>
      <c r="K455" s="24"/>
      <c r="L455" s="24"/>
      <c r="M455" s="8"/>
      <c r="N455" s="269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3"/>
        <v>0</v>
      </c>
      <c r="J456" s="24" t="s">
        <v>289</v>
      </c>
      <c r="K456" s="24" t="s">
        <v>289</v>
      </c>
      <c r="L456" s="24" t="s">
        <v>289</v>
      </c>
      <c r="M456" s="8"/>
      <c r="N456" s="269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3"/>
        <v>0</v>
      </c>
      <c r="J457" s="24" t="s">
        <v>289</v>
      </c>
      <c r="K457" s="24" t="s">
        <v>289</v>
      </c>
      <c r="L457" s="24" t="s">
        <v>289</v>
      </c>
      <c r="M457" s="67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3"/>
        <v>0</v>
      </c>
      <c r="J458" s="24"/>
      <c r="K458" s="24"/>
      <c r="L458" s="24"/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663866.72</v>
      </c>
      <c r="G459" s="18"/>
      <c r="H459" s="18"/>
      <c r="I459" s="56">
        <f t="shared" si="33"/>
        <v>663866.72</v>
      </c>
      <c r="J459" s="24" t="s">
        <v>289</v>
      </c>
      <c r="K459" s="24" t="s">
        <v>289</v>
      </c>
      <c r="L459" s="24" t="s">
        <v>289</v>
      </c>
      <c r="M459" s="52"/>
      <c r="N459" s="216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663866.72</v>
      </c>
      <c r="G460" s="82">
        <f>SUM(G454:G459)</f>
        <v>0</v>
      </c>
      <c r="H460" s="82">
        <f>SUM(H454:H459)</f>
        <v>0</v>
      </c>
      <c r="I460" s="82">
        <f>SUM(I454:I459)</f>
        <v>663866.72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6" t="s">
        <v>433</v>
      </c>
      <c r="E461" s="81"/>
      <c r="F461" s="42">
        <f>F452+F460</f>
        <v>663866.72</v>
      </c>
      <c r="G461" s="42">
        <f>G452+G460</f>
        <v>0</v>
      </c>
      <c r="H461" s="42">
        <f>H452+H460</f>
        <v>0</v>
      </c>
      <c r="I461" s="42">
        <f>I452+I460</f>
        <v>663866.72</v>
      </c>
      <c r="J461" s="24" t="s">
        <v>289</v>
      </c>
      <c r="K461" s="24" t="s">
        <v>289</v>
      </c>
      <c r="L461" s="24" t="s">
        <v>289</v>
      </c>
      <c r="N461" s="216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16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6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16"/>
    </row>
    <row r="465" spans="1:14" s="52" customFormat="1" ht="12" customHeight="1" x14ac:dyDescent="0.2">
      <c r="A465" s="188" t="s">
        <v>891</v>
      </c>
      <c r="B465" s="104">
        <v>19</v>
      </c>
      <c r="C465" s="110">
        <v>1</v>
      </c>
      <c r="D465" s="2" t="s">
        <v>433</v>
      </c>
      <c r="E465" s="110"/>
      <c r="F465" s="18">
        <f>4050394-707+0.07</f>
        <v>4049687.07</v>
      </c>
      <c r="G465" s="18">
        <v>41741.65</v>
      </c>
      <c r="H465" s="18">
        <v>40085.199999999997</v>
      </c>
      <c r="I465" s="18"/>
      <c r="J465" s="18">
        <v>657902.85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v>64430909</v>
      </c>
      <c r="G468" s="18">
        <v>1194116.3500000001</v>
      </c>
      <c r="H468" s="18">
        <f>1388465+39108.2</f>
        <v>1427573.2</v>
      </c>
      <c r="I468" s="18"/>
      <c r="J468" s="18">
        <v>5963.87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64430909</v>
      </c>
      <c r="G470" s="53">
        <f>SUM(G468:G469)</f>
        <v>1194116.3500000001</v>
      </c>
      <c r="H470" s="53">
        <f>SUM(H468:H469)</f>
        <v>1427573.2</v>
      </c>
      <c r="I470" s="53">
        <f>SUM(I468:I469)</f>
        <v>0</v>
      </c>
      <c r="J470" s="53">
        <f>SUM(J468:J469)</f>
        <v>5963.87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v>62138306.07</v>
      </c>
      <c r="G472" s="18">
        <v>1178498.43</v>
      </c>
      <c r="H472" s="18">
        <f>1388465+39859.63-0.2-0.2-0.03</f>
        <v>1428324.2</v>
      </c>
      <c r="I472" s="18"/>
      <c r="J472" s="18"/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62138306.07</v>
      </c>
      <c r="G474" s="53">
        <f>SUM(G472:G473)</f>
        <v>1178498.43</v>
      </c>
      <c r="H474" s="53">
        <f>SUM(H472:H473)</f>
        <v>1428324.2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189" t="s">
        <v>892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6342289.9999999925</v>
      </c>
      <c r="G476" s="53">
        <f>(G465+G470)- G474</f>
        <v>57359.570000000065</v>
      </c>
      <c r="H476" s="53">
        <f>(H465+H470)- H474</f>
        <v>39334.199999999953</v>
      </c>
      <c r="I476" s="53">
        <f>(I465+I470)- I474</f>
        <v>0</v>
      </c>
      <c r="J476" s="53">
        <f>(J465+J470)- J474</f>
        <v>663866.72</v>
      </c>
      <c r="K476" s="24" t="s">
        <v>289</v>
      </c>
      <c r="L476" s="24" t="s">
        <v>289</v>
      </c>
      <c r="N476" s="216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16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16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16"/>
    </row>
    <row r="480" spans="1:14" s="52" customFormat="1" ht="12" customHeight="1" x14ac:dyDescent="0.2">
      <c r="A480" s="18" t="s">
        <v>912</v>
      </c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16"/>
    </row>
    <row r="481" spans="1:14" s="52" customFormat="1" ht="12" customHeight="1" x14ac:dyDescent="0.2">
      <c r="A481" s="174" t="s">
        <v>913</v>
      </c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16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16"/>
    </row>
    <row r="483" spans="1:14" s="52" customFormat="1" ht="12" customHeight="1" x14ac:dyDescent="0.2">
      <c r="A483" s="173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16"/>
    </row>
    <row r="484" spans="1:14" s="52" customFormat="1" ht="12" customHeight="1" x14ac:dyDescent="0.2">
      <c r="A484" s="173"/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16"/>
    </row>
    <row r="485" spans="1:14" s="52" customFormat="1" ht="12" customHeight="1" x14ac:dyDescent="0.2">
      <c r="A485" s="173"/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16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16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16"/>
    </row>
    <row r="488" spans="1:14" s="52" customFormat="1" ht="12" customHeight="1" x14ac:dyDescent="0.2">
      <c r="A488" s="146" t="s">
        <v>893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16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16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53">
        <v>20</v>
      </c>
      <c r="G490" s="153">
        <v>20</v>
      </c>
      <c r="H490" s="153">
        <v>12</v>
      </c>
      <c r="I490" s="153"/>
      <c r="J490" s="153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54" t="s">
        <v>914</v>
      </c>
      <c r="G491" s="154" t="s">
        <v>915</v>
      </c>
      <c r="H491" s="154" t="s">
        <v>916</v>
      </c>
      <c r="I491" s="153"/>
      <c r="J491" s="153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54" t="s">
        <v>917</v>
      </c>
      <c r="G492" s="154" t="s">
        <v>918</v>
      </c>
      <c r="H492" s="154" t="s">
        <v>919</v>
      </c>
      <c r="I492" s="153"/>
      <c r="J492" s="153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>
        <v>5915851</v>
      </c>
      <c r="G493" s="18">
        <v>15525000</v>
      </c>
      <c r="H493" s="18">
        <v>3675816</v>
      </c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>
        <v>5.31</v>
      </c>
      <c r="G494" s="18">
        <v>3.52</v>
      </c>
      <c r="H494" s="18">
        <v>4.4800000000000004</v>
      </c>
      <c r="I494" s="18"/>
      <c r="J494" s="18"/>
      <c r="K494" s="24" t="s">
        <v>289</v>
      </c>
      <c r="L494" s="24" t="s">
        <v>289</v>
      </c>
      <c r="N494" s="216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203">
        <f>2950000-295000-295000</f>
        <v>2360000</v>
      </c>
      <c r="G495" s="203">
        <f>10075000-775000-775000</f>
        <v>8525000</v>
      </c>
      <c r="H495" s="203">
        <f>2945378.74-201903.98</f>
        <v>2743474.7600000002</v>
      </c>
      <c r="I495" s="18"/>
      <c r="J495" s="18"/>
      <c r="K495" s="53">
        <f>SUM(F495:J495)</f>
        <v>13628474.76</v>
      </c>
      <c r="L495" s="24" t="s">
        <v>289</v>
      </c>
      <c r="N495" s="216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/>
      <c r="G496" s="18"/>
      <c r="H496" s="18"/>
      <c r="I496" s="18"/>
      <c r="J496" s="18"/>
      <c r="K496" s="53">
        <f t="shared" ref="K496:K503" si="34">SUM(F496:J496)</f>
        <v>0</v>
      </c>
      <c r="L496" s="24" t="s">
        <v>289</v>
      </c>
      <c r="N496" s="216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>
        <v>295000</v>
      </c>
      <c r="G497" s="18">
        <v>775000</v>
      </c>
      <c r="H497" s="18">
        <v>245382</v>
      </c>
      <c r="I497" s="18"/>
      <c r="J497" s="18"/>
      <c r="K497" s="53">
        <f t="shared" si="34"/>
        <v>1315382</v>
      </c>
      <c r="L497" s="24" t="s">
        <v>289</v>
      </c>
      <c r="N497" s="216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v>2065000</v>
      </c>
      <c r="G498" s="203">
        <v>7750000</v>
      </c>
      <c r="H498" s="203">
        <v>2204787</v>
      </c>
      <c r="I498" s="203"/>
      <c r="J498" s="203"/>
      <c r="K498" s="204">
        <f t="shared" si="34"/>
        <v>12019787</v>
      </c>
      <c r="L498" s="205" t="s">
        <v>289</v>
      </c>
      <c r="N498" s="216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>
        <v>338732.5</v>
      </c>
      <c r="G499" s="18">
        <v>1851650</v>
      </c>
      <c r="H499" s="18">
        <v>370694</v>
      </c>
      <c r="I499" s="18"/>
      <c r="J499" s="18"/>
      <c r="K499" s="53">
        <f t="shared" si="34"/>
        <v>2561076.5</v>
      </c>
      <c r="L499" s="24" t="s">
        <v>289</v>
      </c>
      <c r="N499" s="216"/>
    </row>
    <row r="500" spans="1:14" s="52" customFormat="1" ht="12" customHeight="1" thickTop="1" x14ac:dyDescent="0.2">
      <c r="A500" s="138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2403732.5</v>
      </c>
      <c r="G500" s="42">
        <f>SUM(G498:G499)</f>
        <v>9601650</v>
      </c>
      <c r="H500" s="42">
        <f>SUM(H498:H499)</f>
        <v>2575481</v>
      </c>
      <c r="I500" s="42">
        <f>SUM(I498:I499)</f>
        <v>0</v>
      </c>
      <c r="J500" s="42">
        <f>SUM(J498:J499)</f>
        <v>0</v>
      </c>
      <c r="K500" s="42">
        <f t="shared" si="34"/>
        <v>14580863.5</v>
      </c>
      <c r="L500" s="45" t="s">
        <v>289</v>
      </c>
      <c r="N500" s="216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295000</v>
      </c>
      <c r="G501" s="203">
        <v>775000</v>
      </c>
      <c r="H501" s="203">
        <v>321610</v>
      </c>
      <c r="I501" s="203"/>
      <c r="J501" s="203"/>
      <c r="K501" s="204">
        <f t="shared" si="34"/>
        <v>1391610</v>
      </c>
      <c r="L501" s="205" t="s">
        <v>289</v>
      </c>
      <c r="N501" s="216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>
        <v>130914</v>
      </c>
      <c r="G502" s="18">
        <v>337125</v>
      </c>
      <c r="H502" s="18">
        <v>85772</v>
      </c>
      <c r="I502" s="18"/>
      <c r="J502" s="18"/>
      <c r="K502" s="53">
        <f t="shared" si="34"/>
        <v>553811</v>
      </c>
      <c r="L502" s="24" t="s">
        <v>289</v>
      </c>
      <c r="N502" s="216"/>
    </row>
    <row r="503" spans="1:14" s="52" customFormat="1" ht="12" customHeight="1" thickTop="1" x14ac:dyDescent="0.2">
      <c r="A503" s="138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425914</v>
      </c>
      <c r="G503" s="42">
        <f>SUM(G501:G502)</f>
        <v>1112125</v>
      </c>
      <c r="H503" s="42">
        <f>SUM(H501:H502)</f>
        <v>407382</v>
      </c>
      <c r="I503" s="42">
        <f>SUM(I501:I502)</f>
        <v>0</v>
      </c>
      <c r="J503" s="42">
        <f>SUM(J501:J502)</f>
        <v>0</v>
      </c>
      <c r="K503" s="42">
        <f t="shared" si="34"/>
        <v>1945421</v>
      </c>
      <c r="L503" s="45" t="s">
        <v>289</v>
      </c>
      <c r="N503" s="216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16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16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43"/>
      <c r="G507" s="143"/>
      <c r="H507" s="143"/>
      <c r="I507" s="143"/>
      <c r="J507" s="24" t="s">
        <v>289</v>
      </c>
      <c r="K507" s="24" t="s">
        <v>289</v>
      </c>
      <c r="L507" s="24" t="s">
        <v>289</v>
      </c>
      <c r="N507" s="216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6"/>
    </row>
    <row r="509" spans="1:14" s="52" customFormat="1" ht="12" customHeight="1" x14ac:dyDescent="0.2">
      <c r="A509" s="146" t="s">
        <v>894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16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16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6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5"/>
      <c r="N518" s="216"/>
    </row>
    <row r="519" spans="1:14" s="52" customFormat="1" ht="12" customHeight="1" x14ac:dyDescent="0.2">
      <c r="A519" s="177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16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6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v>4029624.12</v>
      </c>
      <c r="G521" s="18">
        <v>2240455.09</v>
      </c>
      <c r="H521" s="18">
        <v>1063125.05</v>
      </c>
      <c r="I521" s="18">
        <v>20620.34</v>
      </c>
      <c r="J521" s="18"/>
      <c r="K521" s="18"/>
      <c r="L521" s="87">
        <f>SUM(F521:K521)</f>
        <v>7353824.5999999996</v>
      </c>
      <c r="N521" s="216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>
        <v>1128768.1200000001</v>
      </c>
      <c r="G522" s="18">
        <v>631048.85</v>
      </c>
      <c r="H522" s="18">
        <v>557840.68999999994</v>
      </c>
      <c r="I522" s="18">
        <v>1056.76</v>
      </c>
      <c r="J522" s="18"/>
      <c r="K522" s="18"/>
      <c r="L522" s="87">
        <f>SUM(F522:K522)</f>
        <v>2318714.42</v>
      </c>
      <c r="N522" s="216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v>1974308.23</v>
      </c>
      <c r="G523" s="18">
        <v>1072986.67</v>
      </c>
      <c r="H523" s="18">
        <v>2505923.66</v>
      </c>
      <c r="I523" s="18">
        <v>2245.62</v>
      </c>
      <c r="J523" s="18"/>
      <c r="K523" s="18"/>
      <c r="L523" s="87">
        <f>SUM(F523:K523)</f>
        <v>5555464.1800000006</v>
      </c>
      <c r="N523" s="216"/>
    </row>
    <row r="524" spans="1:14" s="52" customFormat="1" ht="12" customHeight="1" thickTop="1" x14ac:dyDescent="0.2">
      <c r="A524" s="138" t="s">
        <v>63</v>
      </c>
      <c r="B524" s="106">
        <v>21</v>
      </c>
      <c r="C524" s="194">
        <v>4</v>
      </c>
      <c r="D524" s="195" t="s">
        <v>433</v>
      </c>
      <c r="E524" s="194"/>
      <c r="F524" s="107">
        <f>SUM(F521:F523)</f>
        <v>7132700.4700000007</v>
      </c>
      <c r="G524" s="107">
        <f t="shared" ref="G524:L524" si="35">SUM(G521:G523)</f>
        <v>3944490.61</v>
      </c>
      <c r="H524" s="107">
        <f t="shared" si="35"/>
        <v>4126889.4000000004</v>
      </c>
      <c r="I524" s="107">
        <f t="shared" si="35"/>
        <v>23922.719999999998</v>
      </c>
      <c r="J524" s="107">
        <f t="shared" si="35"/>
        <v>0</v>
      </c>
      <c r="K524" s="107">
        <f t="shared" si="35"/>
        <v>0</v>
      </c>
      <c r="L524" s="88">
        <f t="shared" si="35"/>
        <v>15228003.199999999</v>
      </c>
      <c r="N524" s="216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6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/>
      <c r="G526" s="18"/>
      <c r="H526" s="18">
        <v>779544.59</v>
      </c>
      <c r="I526" s="18"/>
      <c r="J526" s="18"/>
      <c r="K526" s="18"/>
      <c r="L526" s="87">
        <f>SUM(F526:K526)</f>
        <v>779544.59</v>
      </c>
      <c r="M526" s="8"/>
      <c r="N526" s="269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/>
      <c r="G527" s="18"/>
      <c r="H527" s="18">
        <v>327655.69</v>
      </c>
      <c r="I527" s="18"/>
      <c r="J527" s="18"/>
      <c r="K527" s="18"/>
      <c r="L527" s="87">
        <f>SUM(F527:K527)</f>
        <v>327655.69</v>
      </c>
      <c r="M527" s="8"/>
      <c r="N527" s="269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/>
      <c r="G528" s="18"/>
      <c r="H528" s="18">
        <v>537676.24</v>
      </c>
      <c r="I528" s="18"/>
      <c r="J528" s="18"/>
      <c r="K528" s="18"/>
      <c r="L528" s="87">
        <f>SUM(F528:K528)</f>
        <v>537676.24</v>
      </c>
      <c r="M528" s="8"/>
      <c r="N528" s="269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7" t="s">
        <v>433</v>
      </c>
      <c r="E529" s="106"/>
      <c r="F529" s="88">
        <f>SUM(F526:F528)</f>
        <v>0</v>
      </c>
      <c r="G529" s="88">
        <f t="shared" ref="G529:L529" si="36">SUM(G526:G528)</f>
        <v>0</v>
      </c>
      <c r="H529" s="88">
        <f t="shared" si="36"/>
        <v>1644876.52</v>
      </c>
      <c r="I529" s="88">
        <f t="shared" si="36"/>
        <v>0</v>
      </c>
      <c r="J529" s="88">
        <f t="shared" si="36"/>
        <v>0</v>
      </c>
      <c r="K529" s="88">
        <f t="shared" si="36"/>
        <v>0</v>
      </c>
      <c r="L529" s="88">
        <f t="shared" si="36"/>
        <v>1644876.52</v>
      </c>
      <c r="M529" s="8"/>
      <c r="N529" s="269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69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169132.53</v>
      </c>
      <c r="G531" s="18">
        <v>23456.62</v>
      </c>
      <c r="H531" s="18"/>
      <c r="I531" s="18"/>
      <c r="J531" s="18"/>
      <c r="K531" s="18"/>
      <c r="L531" s="87">
        <f>SUM(F531:K531)</f>
        <v>192589.15</v>
      </c>
      <c r="M531" s="8"/>
      <c r="N531" s="269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>
        <v>112755.02</v>
      </c>
      <c r="G532" s="18">
        <v>12325.43</v>
      </c>
      <c r="H532" s="18"/>
      <c r="I532" s="18"/>
      <c r="J532" s="18"/>
      <c r="K532" s="18"/>
      <c r="L532" s="87">
        <f>SUM(F532:K532)</f>
        <v>125080.45000000001</v>
      </c>
      <c r="M532" s="8"/>
      <c r="N532" s="269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281887.55</v>
      </c>
      <c r="G533" s="18">
        <v>48562.23</v>
      </c>
      <c r="H533" s="18"/>
      <c r="I533" s="18"/>
      <c r="J533" s="18"/>
      <c r="K533" s="18"/>
      <c r="L533" s="87">
        <f>SUM(F533:K533)</f>
        <v>330449.77999999997</v>
      </c>
      <c r="M533" s="8"/>
      <c r="N533" s="269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7" t="s">
        <v>433</v>
      </c>
      <c r="E534" s="106"/>
      <c r="F534" s="88">
        <f>SUM(F531:F533)</f>
        <v>563775.1</v>
      </c>
      <c r="G534" s="88">
        <f t="shared" ref="G534:L534" si="37">SUM(G531:G533)</f>
        <v>84344.28</v>
      </c>
      <c r="H534" s="88">
        <f t="shared" si="37"/>
        <v>0</v>
      </c>
      <c r="I534" s="88">
        <f t="shared" si="37"/>
        <v>0</v>
      </c>
      <c r="J534" s="88">
        <f t="shared" si="37"/>
        <v>0</v>
      </c>
      <c r="K534" s="88">
        <f t="shared" si="37"/>
        <v>0</v>
      </c>
      <c r="L534" s="88">
        <f t="shared" si="37"/>
        <v>648119.37999999989</v>
      </c>
      <c r="M534" s="8"/>
      <c r="N534" s="269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69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/>
      <c r="G536" s="18"/>
      <c r="H536" s="18">
        <v>2325</v>
      </c>
      <c r="I536" s="18"/>
      <c r="J536" s="18"/>
      <c r="K536" s="18"/>
      <c r="L536" s="87">
        <f>SUM(F536:K536)</f>
        <v>2325</v>
      </c>
      <c r="M536" s="8"/>
      <c r="N536" s="269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/>
      <c r="G537" s="18"/>
      <c r="H537" s="18">
        <v>12536.15</v>
      </c>
      <c r="I537" s="18"/>
      <c r="J537" s="18"/>
      <c r="K537" s="18"/>
      <c r="L537" s="87">
        <f>SUM(F537:K537)</f>
        <v>12536.15</v>
      </c>
      <c r="M537" s="8"/>
      <c r="N537" s="269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/>
      <c r="G538" s="18"/>
      <c r="H538" s="18">
        <v>5267.22</v>
      </c>
      <c r="I538" s="18"/>
      <c r="J538" s="18"/>
      <c r="K538" s="18"/>
      <c r="L538" s="87">
        <f>SUM(F538:K538)</f>
        <v>5267.22</v>
      </c>
      <c r="M538" s="8"/>
      <c r="N538" s="269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7" t="s">
        <v>433</v>
      </c>
      <c r="E539" s="106"/>
      <c r="F539" s="88">
        <f>SUM(F536:F538)</f>
        <v>0</v>
      </c>
      <c r="G539" s="88">
        <f t="shared" ref="G539:L539" si="38">SUM(G536:G538)</f>
        <v>0</v>
      </c>
      <c r="H539" s="88">
        <f t="shared" si="38"/>
        <v>20128.37</v>
      </c>
      <c r="I539" s="88">
        <f t="shared" si="38"/>
        <v>0</v>
      </c>
      <c r="J539" s="88">
        <f t="shared" si="38"/>
        <v>0</v>
      </c>
      <c r="K539" s="88">
        <f t="shared" si="38"/>
        <v>0</v>
      </c>
      <c r="L539" s="88">
        <f t="shared" si="38"/>
        <v>20128.37</v>
      </c>
      <c r="M539" s="8"/>
      <c r="N539" s="269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69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/>
      <c r="G541" s="18"/>
      <c r="H541" s="18">
        <v>278846.84999999998</v>
      </c>
      <c r="I541" s="18"/>
      <c r="J541" s="18"/>
      <c r="K541" s="18"/>
      <c r="L541" s="87">
        <f>SUM(F541:K541)</f>
        <v>278846.84999999998</v>
      </c>
      <c r="M541" s="8"/>
      <c r="N541" s="269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/>
      <c r="G542" s="18"/>
      <c r="H542" s="18">
        <v>107531.86</v>
      </c>
      <c r="I542" s="18"/>
      <c r="J542" s="18"/>
      <c r="K542" s="18"/>
      <c r="L542" s="87">
        <f>SUM(F542:K542)</f>
        <v>107531.86</v>
      </c>
      <c r="M542" s="8"/>
      <c r="N542" s="269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/>
      <c r="G543" s="18"/>
      <c r="H543" s="18">
        <v>479898.69</v>
      </c>
      <c r="I543" s="18"/>
      <c r="J543" s="18"/>
      <c r="K543" s="18"/>
      <c r="L543" s="87">
        <f>SUM(F543:K543)</f>
        <v>479898.69</v>
      </c>
      <c r="M543" s="8"/>
      <c r="N543" s="269"/>
    </row>
    <row r="544" spans="1:14" s="3" customFormat="1" ht="12" customHeight="1" thickTop="1" thickBot="1" x14ac:dyDescent="0.2">
      <c r="A544" s="129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39">SUM(G541:G543)</f>
        <v>0</v>
      </c>
      <c r="H544" s="192">
        <f t="shared" si="39"/>
        <v>866277.39999999991</v>
      </c>
      <c r="I544" s="192">
        <f t="shared" si="39"/>
        <v>0</v>
      </c>
      <c r="J544" s="192">
        <f t="shared" si="39"/>
        <v>0</v>
      </c>
      <c r="K544" s="192">
        <f t="shared" si="39"/>
        <v>0</v>
      </c>
      <c r="L544" s="192">
        <f t="shared" si="39"/>
        <v>866277.39999999991</v>
      </c>
      <c r="M544" s="8"/>
      <c r="N544" s="269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7" t="s">
        <v>433</v>
      </c>
      <c r="E545" s="106"/>
      <c r="F545" s="88">
        <f>F524+F529+F534+F539+F544</f>
        <v>7696475.5700000003</v>
      </c>
      <c r="G545" s="88">
        <f t="shared" ref="G545:L545" si="40">G524+G529+G534+G539+G544</f>
        <v>4028834.8899999997</v>
      </c>
      <c r="H545" s="88">
        <f t="shared" si="40"/>
        <v>6658171.6899999995</v>
      </c>
      <c r="I545" s="88">
        <f t="shared" si="40"/>
        <v>23922.719999999998</v>
      </c>
      <c r="J545" s="88">
        <f t="shared" si="40"/>
        <v>0</v>
      </c>
      <c r="K545" s="88">
        <f t="shared" si="40"/>
        <v>0</v>
      </c>
      <c r="L545" s="88">
        <f t="shared" si="40"/>
        <v>18407404.869999997</v>
      </c>
      <c r="M545" s="8"/>
      <c r="N545" s="269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69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69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69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7353824.5999999996</v>
      </c>
      <c r="G549" s="86">
        <f>L526</f>
        <v>779544.59</v>
      </c>
      <c r="H549" s="86">
        <f>L531</f>
        <v>192589.15</v>
      </c>
      <c r="I549" s="86">
        <f>L536</f>
        <v>2325</v>
      </c>
      <c r="J549" s="86">
        <f>L541</f>
        <v>278846.84999999998</v>
      </c>
      <c r="K549" s="86">
        <f>SUM(F549:J549)</f>
        <v>8607130.1899999995</v>
      </c>
      <c r="L549" s="24" t="s">
        <v>289</v>
      </c>
      <c r="M549" s="8"/>
      <c r="N549" s="269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2318714.42</v>
      </c>
      <c r="G550" s="86">
        <f>L527</f>
        <v>327655.69</v>
      </c>
      <c r="H550" s="86">
        <f>L532</f>
        <v>125080.45000000001</v>
      </c>
      <c r="I550" s="86">
        <f>L537</f>
        <v>12536.15</v>
      </c>
      <c r="J550" s="86">
        <f>L542</f>
        <v>107531.86</v>
      </c>
      <c r="K550" s="86">
        <f>SUM(F550:J550)</f>
        <v>2891518.57</v>
      </c>
      <c r="L550" s="24" t="s">
        <v>289</v>
      </c>
      <c r="M550" s="8"/>
      <c r="N550" s="269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5555464.1800000006</v>
      </c>
      <c r="G551" s="86">
        <f>L528</f>
        <v>537676.24</v>
      </c>
      <c r="H551" s="86">
        <f>L533</f>
        <v>330449.77999999997</v>
      </c>
      <c r="I551" s="86">
        <f>L538</f>
        <v>5267.22</v>
      </c>
      <c r="J551" s="86">
        <f>L543</f>
        <v>479898.69</v>
      </c>
      <c r="K551" s="86">
        <f>SUM(F551:J551)</f>
        <v>6908756.1100000013</v>
      </c>
      <c r="L551" s="24" t="s">
        <v>289</v>
      </c>
      <c r="M551" s="8"/>
      <c r="N551" s="269"/>
    </row>
    <row r="552" spans="1:14" s="3" customFormat="1" ht="12" customHeight="1" thickTop="1" x14ac:dyDescent="0.15">
      <c r="A552" s="171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1">SUM(F549:F551)</f>
        <v>15228003.199999999</v>
      </c>
      <c r="G552" s="88">
        <f t="shared" si="41"/>
        <v>1644876.52</v>
      </c>
      <c r="H552" s="88">
        <f t="shared" si="41"/>
        <v>648119.37999999989</v>
      </c>
      <c r="I552" s="88">
        <f t="shared" si="41"/>
        <v>20128.37</v>
      </c>
      <c r="J552" s="88">
        <f t="shared" si="41"/>
        <v>866277.39999999991</v>
      </c>
      <c r="K552" s="88">
        <f t="shared" si="41"/>
        <v>18407404.870000001</v>
      </c>
      <c r="L552" s="24"/>
      <c r="M552" s="8"/>
      <c r="N552" s="269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69"/>
    </row>
    <row r="554" spans="1:14" s="3" customFormat="1" ht="12" customHeight="1" x14ac:dyDescent="0.15">
      <c r="B554" s="104"/>
      <c r="C554" s="114"/>
      <c r="D554" s="114"/>
      <c r="E554" s="114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5"/>
      <c r="M554" s="8"/>
      <c r="N554" s="269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69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69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>
        <v>228523.58</v>
      </c>
      <c r="G557" s="18">
        <v>36258.230000000003</v>
      </c>
      <c r="H557" s="18"/>
      <c r="I557" s="18">
        <v>5195.3900000000003</v>
      </c>
      <c r="J557" s="18"/>
      <c r="K557" s="18"/>
      <c r="L557" s="87">
        <f>SUM(F557:K557)</f>
        <v>269977.2</v>
      </c>
      <c r="M557" s="8"/>
      <c r="N557" s="269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>
        <v>231</v>
      </c>
      <c r="G558" s="18">
        <v>23</v>
      </c>
      <c r="H558" s="18"/>
      <c r="I558" s="18">
        <v>3463.59</v>
      </c>
      <c r="J558" s="18"/>
      <c r="K558" s="18"/>
      <c r="L558" s="87">
        <f>SUM(F558:K558)</f>
        <v>3717.59</v>
      </c>
      <c r="M558" s="8"/>
      <c r="N558" s="269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>
        <v>11204.72</v>
      </c>
      <c r="G559" s="18">
        <v>5632.32</v>
      </c>
      <c r="H559" s="18"/>
      <c r="I559" s="18">
        <v>8658.99</v>
      </c>
      <c r="J559" s="18"/>
      <c r="K559" s="18"/>
      <c r="L559" s="87">
        <f>SUM(F559:K559)</f>
        <v>25496.03</v>
      </c>
      <c r="M559" s="8"/>
      <c r="N559" s="269"/>
    </row>
    <row r="560" spans="1:14" s="3" customFormat="1" ht="12" customHeight="1" thickTop="1" x14ac:dyDescent="0.15">
      <c r="A560" s="138" t="s">
        <v>63</v>
      </c>
      <c r="B560" s="106">
        <v>22</v>
      </c>
      <c r="C560" s="194">
        <v>4</v>
      </c>
      <c r="D560" s="195" t="s">
        <v>433</v>
      </c>
      <c r="E560" s="194"/>
      <c r="F560" s="107">
        <f t="shared" ref="F560:L560" si="42">SUM(F557:F559)</f>
        <v>239959.3</v>
      </c>
      <c r="G560" s="107">
        <f t="shared" si="42"/>
        <v>41913.550000000003</v>
      </c>
      <c r="H560" s="107">
        <f t="shared" si="42"/>
        <v>0</v>
      </c>
      <c r="I560" s="107">
        <f t="shared" si="42"/>
        <v>17317.97</v>
      </c>
      <c r="J560" s="107">
        <f t="shared" si="42"/>
        <v>0</v>
      </c>
      <c r="K560" s="107">
        <f t="shared" si="42"/>
        <v>0</v>
      </c>
      <c r="L560" s="88">
        <f t="shared" si="42"/>
        <v>299190.82000000007</v>
      </c>
      <c r="M560" s="8"/>
      <c r="N560" s="269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69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/>
      <c r="G562" s="18"/>
      <c r="H562" s="18"/>
      <c r="I562" s="18"/>
      <c r="J562" s="18"/>
      <c r="K562" s="18"/>
      <c r="L562" s="87">
        <f>SUM(F562:K562)</f>
        <v>0</v>
      </c>
      <c r="M562" s="8"/>
      <c r="N562" s="269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/>
      <c r="G563" s="18"/>
      <c r="H563" s="18"/>
      <c r="I563" s="18"/>
      <c r="J563" s="18"/>
      <c r="K563" s="18"/>
      <c r="L563" s="87">
        <f>SUM(F563:K563)</f>
        <v>0</v>
      </c>
      <c r="M563" s="8"/>
      <c r="N563" s="269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/>
      <c r="G564" s="18"/>
      <c r="H564" s="18"/>
      <c r="I564" s="18"/>
      <c r="J564" s="18"/>
      <c r="K564" s="18"/>
      <c r="L564" s="87">
        <f>SUM(F564:K564)</f>
        <v>0</v>
      </c>
      <c r="M564" s="8"/>
      <c r="N564" s="269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5" t="s">
        <v>433</v>
      </c>
      <c r="E565" s="106"/>
      <c r="F565" s="88">
        <f t="shared" ref="F565:L565" si="43">SUM(F562:F564)</f>
        <v>0</v>
      </c>
      <c r="G565" s="88">
        <f t="shared" si="43"/>
        <v>0</v>
      </c>
      <c r="H565" s="88">
        <f t="shared" si="43"/>
        <v>0</v>
      </c>
      <c r="I565" s="88">
        <f t="shared" si="43"/>
        <v>0</v>
      </c>
      <c r="J565" s="88">
        <f t="shared" si="43"/>
        <v>0</v>
      </c>
      <c r="K565" s="88">
        <f t="shared" si="43"/>
        <v>0</v>
      </c>
      <c r="L565" s="88">
        <f t="shared" si="43"/>
        <v>0</v>
      </c>
      <c r="M565" s="8"/>
      <c r="N565" s="269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69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>
        <v>60570</v>
      </c>
      <c r="G567" s="18">
        <v>24562.23</v>
      </c>
      <c r="H567" s="18">
        <v>3828.39</v>
      </c>
      <c r="I567" s="18"/>
      <c r="J567" s="18"/>
      <c r="K567" s="18"/>
      <c r="L567" s="87">
        <f>SUM(F567:K567)</f>
        <v>88960.62</v>
      </c>
      <c r="M567" s="8"/>
      <c r="N567" s="269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>
        <v>40380</v>
      </c>
      <c r="G568" s="18">
        <v>15623.32</v>
      </c>
      <c r="H568" s="18">
        <v>1987.98</v>
      </c>
      <c r="I568" s="18"/>
      <c r="J568" s="18"/>
      <c r="K568" s="18"/>
      <c r="L568" s="87">
        <f>SUM(F568:K568)</f>
        <v>57991.3</v>
      </c>
      <c r="M568" s="8"/>
      <c r="N568" s="269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>
        <v>100950</v>
      </c>
      <c r="G569" s="18">
        <v>50236.32</v>
      </c>
      <c r="H569" s="18">
        <v>15645.65</v>
      </c>
      <c r="I569" s="18"/>
      <c r="J569" s="18"/>
      <c r="K569" s="18"/>
      <c r="L569" s="87">
        <f>SUM(F569:K569)</f>
        <v>166831.97</v>
      </c>
      <c r="M569" s="8"/>
      <c r="N569" s="269"/>
    </row>
    <row r="570" spans="1:14" s="3" customFormat="1" ht="12" customHeight="1" thickTop="1" thickBot="1" x14ac:dyDescent="0.2">
      <c r="A570" s="129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201900</v>
      </c>
      <c r="G570" s="192">
        <f t="shared" ref="G570:L570" si="44">SUM(G567:G569)</f>
        <v>90421.87</v>
      </c>
      <c r="H570" s="192">
        <f t="shared" si="44"/>
        <v>21462.02</v>
      </c>
      <c r="I570" s="192">
        <f t="shared" si="44"/>
        <v>0</v>
      </c>
      <c r="J570" s="192">
        <f t="shared" si="44"/>
        <v>0</v>
      </c>
      <c r="K570" s="192">
        <f t="shared" si="44"/>
        <v>0</v>
      </c>
      <c r="L570" s="192">
        <f t="shared" si="44"/>
        <v>313783.89</v>
      </c>
      <c r="M570" s="8"/>
      <c r="N570" s="269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7" t="s">
        <v>433</v>
      </c>
      <c r="E571" s="106"/>
      <c r="F571" s="88">
        <f>F560+F565+F570</f>
        <v>441859.3</v>
      </c>
      <c r="G571" s="88">
        <f t="shared" ref="G571:L571" si="45">G560+G565+G570</f>
        <v>132335.41999999998</v>
      </c>
      <c r="H571" s="88">
        <f t="shared" si="45"/>
        <v>21462.02</v>
      </c>
      <c r="I571" s="88">
        <f t="shared" si="45"/>
        <v>17317.97</v>
      </c>
      <c r="J571" s="88">
        <f t="shared" si="45"/>
        <v>0</v>
      </c>
      <c r="K571" s="88">
        <f t="shared" si="45"/>
        <v>0</v>
      </c>
      <c r="L571" s="88">
        <f t="shared" si="45"/>
        <v>612974.71000000008</v>
      </c>
      <c r="M571" s="8"/>
      <c r="N571" s="269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69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69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/>
      <c r="G575" s="18"/>
      <c r="H575" s="18"/>
      <c r="I575" s="86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/>
      <c r="G576" s="18"/>
      <c r="H576" s="18"/>
      <c r="I576" s="86">
        <f t="shared" ref="I576:I587" si="46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/>
      <c r="I577" s="86">
        <f t="shared" si="46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/>
      <c r="G578" s="18"/>
      <c r="H578" s="18"/>
      <c r="I578" s="86">
        <f t="shared" si="46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/>
      <c r="G579" s="18"/>
      <c r="H579" s="18">
        <v>6080</v>
      </c>
      <c r="I579" s="86">
        <f t="shared" si="46"/>
        <v>6080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/>
      <c r="G580" s="18"/>
      <c r="H580" s="18"/>
      <c r="I580" s="86">
        <f t="shared" si="46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5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/>
      <c r="I581" s="86">
        <f t="shared" si="46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5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>
        <v>667166.27</v>
      </c>
      <c r="G582" s="18">
        <v>430370.98</v>
      </c>
      <c r="H582" s="18">
        <v>2219533.5299999998</v>
      </c>
      <c r="I582" s="86">
        <f t="shared" si="46"/>
        <v>3317070.78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145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/>
      <c r="G583" s="18"/>
      <c r="H583" s="18"/>
      <c r="I583" s="86">
        <f t="shared" si="46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/>
      <c r="G584" s="18"/>
      <c r="H584" s="18">
        <v>38109.68</v>
      </c>
      <c r="I584" s="86">
        <f t="shared" si="46"/>
        <v>38109.68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/>
      <c r="G585" s="18"/>
      <c r="H585" s="18"/>
      <c r="I585" s="86">
        <f t="shared" si="46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/>
      <c r="I586" s="86">
        <f t="shared" si="46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/>
      <c r="G587" s="18"/>
      <c r="H587" s="18"/>
      <c r="I587" s="86">
        <f t="shared" si="46"/>
        <v>0</v>
      </c>
      <c r="J587" s="24" t="s">
        <v>289</v>
      </c>
      <c r="K587" s="24" t="s">
        <v>289</v>
      </c>
      <c r="L587" s="24" t="s">
        <v>289</v>
      </c>
      <c r="M587" s="8"/>
      <c r="N587" s="269"/>
    </row>
    <row r="588" spans="1:14" s="3" customFormat="1" ht="12" customHeight="1" x14ac:dyDescent="0.15">
      <c r="A588" s="172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69"/>
    </row>
    <row r="589" spans="1:14" s="3" customFormat="1" ht="12" customHeight="1" x14ac:dyDescent="0.15">
      <c r="A589" s="146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69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69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f>600222.06+443495.7</f>
        <v>1043717.76</v>
      </c>
      <c r="I591" s="18">
        <f>400148.04-66583.06</f>
        <v>333564.98</v>
      </c>
      <c r="J591" s="18">
        <f>1000370.11-291544.53</f>
        <v>708825.58</v>
      </c>
      <c r="K591" s="103">
        <f t="shared" ref="K591:K597" si="47">SUM(H591:J591)</f>
        <v>2086108.3199999998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278826.84000000003</v>
      </c>
      <c r="I592" s="18">
        <v>107531.86</v>
      </c>
      <c r="J592" s="18">
        <v>479898.69</v>
      </c>
      <c r="K592" s="103">
        <f t="shared" si="47"/>
        <v>866257.39</v>
      </c>
      <c r="L592" s="24" t="s">
        <v>289</v>
      </c>
      <c r="M592" s="8"/>
      <c r="N592" s="269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/>
      <c r="I593" s="18"/>
      <c r="J593" s="18">
        <v>132432.29999999999</v>
      </c>
      <c r="K593" s="103">
        <f t="shared" si="47"/>
        <v>132432.29999999999</v>
      </c>
      <c r="L593" s="24" t="s">
        <v>289</v>
      </c>
      <c r="M593" s="8"/>
      <c r="N593" s="269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/>
      <c r="I594" s="18">
        <v>12395.76</v>
      </c>
      <c r="J594" s="18">
        <v>80613.11</v>
      </c>
      <c r="K594" s="103">
        <f t="shared" si="47"/>
        <v>93008.87</v>
      </c>
      <c r="L594" s="24" t="s">
        <v>289</v>
      </c>
      <c r="M594" s="8"/>
      <c r="N594" s="269"/>
    </row>
    <row r="595" spans="1:14" s="3" customFormat="1" ht="12" customHeight="1" x14ac:dyDescent="0.15">
      <c r="A595" s="170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>
        <v>34235.61</v>
      </c>
      <c r="I595" s="18">
        <v>1616.79</v>
      </c>
      <c r="J595" s="18">
        <v>35588.769999999997</v>
      </c>
      <c r="K595" s="103">
        <f t="shared" si="47"/>
        <v>71441.17</v>
      </c>
      <c r="L595" s="24" t="s">
        <v>289</v>
      </c>
      <c r="M595" s="8"/>
      <c r="N595" s="269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/>
      <c r="I596" s="18"/>
      <c r="J596" s="18"/>
      <c r="K596" s="103">
        <f t="shared" si="47"/>
        <v>0</v>
      </c>
      <c r="L596" s="24" t="s">
        <v>289</v>
      </c>
      <c r="M596" s="8"/>
      <c r="N596" s="269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/>
      <c r="I597" s="18"/>
      <c r="J597" s="18"/>
      <c r="K597" s="103">
        <f t="shared" si="47"/>
        <v>0</v>
      </c>
      <c r="L597" s="24" t="s">
        <v>289</v>
      </c>
      <c r="M597" s="8"/>
      <c r="N597" s="269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7">
        <v>2700</v>
      </c>
      <c r="G598" s="148" t="s">
        <v>97</v>
      </c>
      <c r="H598" s="107">
        <f>SUM(H591:H597)</f>
        <v>1356780.2100000002</v>
      </c>
      <c r="I598" s="107">
        <f>SUM(I591:I597)</f>
        <v>455109.38999999996</v>
      </c>
      <c r="J598" s="107">
        <f>SUM(J591:J597)</f>
        <v>1437358.4500000002</v>
      </c>
      <c r="K598" s="107">
        <f>SUM(K591:K597)</f>
        <v>3249248.05</v>
      </c>
      <c r="L598" s="24" t="s">
        <v>289</v>
      </c>
      <c r="M598" s="8"/>
      <c r="N598" s="269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69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69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69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/>
      <c r="I602" s="18"/>
      <c r="J602" s="18"/>
      <c r="K602" s="103">
        <f>SUM(H602:J602)</f>
        <v>0</v>
      </c>
      <c r="L602" s="24" t="s">
        <v>289</v>
      </c>
      <c r="M602" s="8"/>
      <c r="N602" s="269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/>
      <c r="I603" s="18"/>
      <c r="J603" s="18"/>
      <c r="K603" s="103">
        <f>SUM(H603:J603)</f>
        <v>0</v>
      </c>
      <c r="L603" s="24" t="s">
        <v>289</v>
      </c>
      <c r="M603" s="8"/>
      <c r="N603" s="269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v>103696.48</v>
      </c>
      <c r="I604" s="18">
        <v>174002.04</v>
      </c>
      <c r="J604" s="18">
        <v>42396.41</v>
      </c>
      <c r="K604" s="103">
        <f>SUM(H604:J604)</f>
        <v>320094.93000000005</v>
      </c>
      <c r="L604" s="24" t="s">
        <v>289</v>
      </c>
      <c r="M604" s="8"/>
      <c r="N604" s="269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8" t="s">
        <v>477</v>
      </c>
      <c r="G605" s="147">
        <v>700</v>
      </c>
      <c r="H605" s="107">
        <f>SUM(H602:H604)</f>
        <v>103696.48</v>
      </c>
      <c r="I605" s="107">
        <f>SUM(I602:I604)</f>
        <v>174002.04</v>
      </c>
      <c r="J605" s="107">
        <f>SUM(J602:J604)</f>
        <v>42396.41</v>
      </c>
      <c r="K605" s="107">
        <f>SUM(K602:K604)</f>
        <v>320094.93000000005</v>
      </c>
      <c r="L605" s="24" t="s">
        <v>289</v>
      </c>
      <c r="M605" s="8"/>
      <c r="N605" s="269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69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69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69"/>
    </row>
    <row r="609" spans="1:14" s="3" customFormat="1" ht="12" customHeight="1" x14ac:dyDescent="0.15">
      <c r="B609" s="104"/>
      <c r="C609" s="104"/>
      <c r="D609" s="104"/>
      <c r="E609" s="104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7"/>
      <c r="M609" s="8"/>
      <c r="N609" s="269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69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/>
      <c r="G611" s="18"/>
      <c r="H611" s="18"/>
      <c r="I611" s="18"/>
      <c r="J611" s="18"/>
      <c r="K611" s="18"/>
      <c r="L611" s="87">
        <f>SUM(F611:K611)</f>
        <v>0</v>
      </c>
      <c r="M611" s="8"/>
      <c r="N611" s="269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/>
      <c r="G612" s="18"/>
      <c r="H612" s="18"/>
      <c r="I612" s="18"/>
      <c r="J612" s="18"/>
      <c r="K612" s="18"/>
      <c r="L612" s="87">
        <f>SUM(F612:K612)</f>
        <v>0</v>
      </c>
      <c r="M612" s="8"/>
      <c r="N612" s="269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/>
      <c r="G613" s="18"/>
      <c r="H613" s="18"/>
      <c r="I613" s="18"/>
      <c r="J613" s="18"/>
      <c r="K613" s="18"/>
      <c r="L613" s="87">
        <f>SUM(F613:K613)</f>
        <v>0</v>
      </c>
      <c r="M613" s="8"/>
      <c r="N613" s="269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48">SUM(F611:F613)</f>
        <v>0</v>
      </c>
      <c r="G614" s="107">
        <f t="shared" si="48"/>
        <v>0</v>
      </c>
      <c r="H614" s="107">
        <f t="shared" si="48"/>
        <v>0</v>
      </c>
      <c r="I614" s="107">
        <f t="shared" si="48"/>
        <v>0</v>
      </c>
      <c r="J614" s="107">
        <f t="shared" si="48"/>
        <v>0</v>
      </c>
      <c r="K614" s="107">
        <f t="shared" si="48"/>
        <v>0</v>
      </c>
      <c r="L614" s="88">
        <f t="shared" si="48"/>
        <v>0</v>
      </c>
      <c r="M614" s="8"/>
      <c r="N614" s="269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9" t="s">
        <v>53</v>
      </c>
      <c r="G616" s="150"/>
      <c r="H616" s="150"/>
      <c r="I616" s="149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6451151</v>
      </c>
      <c r="H617" s="108">
        <f>SUM(F52)</f>
        <v>6451151</v>
      </c>
      <c r="I617" s="120" t="s">
        <v>900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57359.57</v>
      </c>
      <c r="H618" s="108">
        <f>SUM(G52)</f>
        <v>57359.57</v>
      </c>
      <c r="I618" s="120" t="s">
        <v>901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304670.2</v>
      </c>
      <c r="H619" s="108">
        <f>SUM(H52)</f>
        <v>304670.2</v>
      </c>
      <c r="I619" s="120" t="s">
        <v>902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0</v>
      </c>
      <c r="H620" s="108">
        <f>SUM(I52)</f>
        <v>0</v>
      </c>
      <c r="I620" s="120" t="s">
        <v>903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663866.72</v>
      </c>
      <c r="H621" s="108">
        <f>SUM(J52)</f>
        <v>663866.72</v>
      </c>
      <c r="I621" s="120" t="s">
        <v>904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6342290</v>
      </c>
      <c r="H622" s="108">
        <f>F476</f>
        <v>6342289.9999999925</v>
      </c>
      <c r="I622" s="120" t="s">
        <v>101</v>
      </c>
      <c r="J622" s="108">
        <f t="shared" ref="J622:J655" si="49">G622-H622</f>
        <v>7.4505805969238281E-9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57359.57</v>
      </c>
      <c r="H623" s="108">
        <f>G476</f>
        <v>57359.570000000065</v>
      </c>
      <c r="I623" s="120" t="s">
        <v>102</v>
      </c>
      <c r="J623" s="108">
        <f t="shared" si="49"/>
        <v>-6.5483618527650833E-11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39334.199999999997</v>
      </c>
      <c r="H624" s="108">
        <f>H476</f>
        <v>39334.199999999953</v>
      </c>
      <c r="I624" s="120" t="s">
        <v>103</v>
      </c>
      <c r="J624" s="108">
        <f t="shared" si="49"/>
        <v>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49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663866.72</v>
      </c>
      <c r="H626" s="108">
        <f>J476</f>
        <v>663866.72</v>
      </c>
      <c r="I626" s="139" t="s">
        <v>105</v>
      </c>
      <c r="J626" s="108">
        <f t="shared" si="49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64430909</v>
      </c>
      <c r="H627" s="103">
        <f>SUM(F468)</f>
        <v>64430909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1194116.3500000001</v>
      </c>
      <c r="H628" s="103">
        <f>SUM(G468)</f>
        <v>1194116.3500000001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1427573.2000000002</v>
      </c>
      <c r="H629" s="103">
        <f>SUM(H468)</f>
        <v>1427573.2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0</v>
      </c>
      <c r="H630" s="103">
        <f>SUM(I468)</f>
        <v>0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5963.87</v>
      </c>
      <c r="H631" s="103">
        <f>SUM(J468)</f>
        <v>5963.87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62138306.07</v>
      </c>
      <c r="H632" s="103">
        <f>SUM(F472)</f>
        <v>62138306.07</v>
      </c>
      <c r="I632" s="139" t="s">
        <v>111</v>
      </c>
      <c r="J632" s="108">
        <f t="shared" si="49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1428324.2</v>
      </c>
      <c r="H633" s="103">
        <f>SUM(H472)</f>
        <v>1428324.2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578059.21</v>
      </c>
      <c r="H634" s="103">
        <f>I369</f>
        <v>578059.21000000008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8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1178498.433</v>
      </c>
      <c r="H635" s="103">
        <f>SUM(G472)</f>
        <v>1178498.43</v>
      </c>
      <c r="I635" s="139" t="s">
        <v>114</v>
      </c>
      <c r="J635" s="108">
        <f t="shared" si="49"/>
        <v>3.0000000260770321E-3</v>
      </c>
      <c r="K635" s="84"/>
      <c r="L635" s="87"/>
      <c r="M635" s="167"/>
    </row>
    <row r="636" spans="1:13" s="168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0</v>
      </c>
      <c r="H636" s="103">
        <f>SUM(I472)</f>
        <v>0</v>
      </c>
      <c r="I636" s="139" t="s">
        <v>116</v>
      </c>
      <c r="J636" s="108">
        <f t="shared" si="49"/>
        <v>0</v>
      </c>
      <c r="K636" s="84"/>
      <c r="L636" s="87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478</v>
      </c>
      <c r="G637" s="150">
        <f>SUM(L408)</f>
        <v>5963.87</v>
      </c>
      <c r="H637" s="163">
        <f>SUM(J468)</f>
        <v>5963.87</v>
      </c>
      <c r="I637" s="164" t="s">
        <v>110</v>
      </c>
      <c r="J637" s="150">
        <f t="shared" si="49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479</v>
      </c>
      <c r="G638" s="150">
        <f>SUM(L434)</f>
        <v>0</v>
      </c>
      <c r="H638" s="163">
        <f>SUM(J472)</f>
        <v>0</v>
      </c>
      <c r="I638" s="164" t="s">
        <v>117</v>
      </c>
      <c r="J638" s="150">
        <f t="shared" si="49"/>
        <v>0</v>
      </c>
      <c r="K638" s="165"/>
      <c r="L638" s="166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663866.72</v>
      </c>
      <c r="H639" s="103">
        <f>SUM(F461)</f>
        <v>663866.72</v>
      </c>
      <c r="I639" s="139" t="s">
        <v>857</v>
      </c>
      <c r="J639" s="108">
        <f t="shared" si="49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858</v>
      </c>
      <c r="J640" s="108">
        <f t="shared" si="49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859</v>
      </c>
      <c r="J641" s="108">
        <f t="shared" si="49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663866.72</v>
      </c>
      <c r="H642" s="103">
        <f>SUM(I461)</f>
        <v>663866.72</v>
      </c>
      <c r="I642" s="139" t="s">
        <v>860</v>
      </c>
      <c r="J642" s="108">
        <f t="shared" si="49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49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5963.87</v>
      </c>
      <c r="H644" s="103">
        <f>H408</f>
        <v>5963.87</v>
      </c>
      <c r="I644" s="139" t="s">
        <v>481</v>
      </c>
      <c r="J644" s="108">
        <f t="shared" si="49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0</v>
      </c>
      <c r="H645" s="103">
        <f>G408</f>
        <v>0</v>
      </c>
      <c r="I645" s="139" t="s">
        <v>482</v>
      </c>
      <c r="J645" s="108">
        <f t="shared" si="49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5963.87</v>
      </c>
      <c r="H646" s="103">
        <f>L408</f>
        <v>5963.87</v>
      </c>
      <c r="I646" s="139" t="s">
        <v>478</v>
      </c>
      <c r="J646" s="108">
        <f t="shared" si="49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3249248.05</v>
      </c>
      <c r="H647" s="103">
        <f>L208+L226+L244</f>
        <v>3249248.05</v>
      </c>
      <c r="I647" s="139" t="s">
        <v>397</v>
      </c>
      <c r="J647" s="108">
        <f t="shared" si="49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320094.93000000005</v>
      </c>
      <c r="H648" s="103">
        <f>(J257+J338)-(J255+J336)</f>
        <v>320094.93</v>
      </c>
      <c r="I648" s="139" t="s">
        <v>703</v>
      </c>
      <c r="J648" s="108">
        <f t="shared" si="49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1356780.2100000002</v>
      </c>
      <c r="H649" s="103">
        <f>H598</f>
        <v>1356780.2100000002</v>
      </c>
      <c r="I649" s="139" t="s">
        <v>389</v>
      </c>
      <c r="J649" s="108">
        <f t="shared" si="49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455109.39</v>
      </c>
      <c r="H650" s="103">
        <f>I598</f>
        <v>455109.38999999996</v>
      </c>
      <c r="I650" s="139" t="s">
        <v>390</v>
      </c>
      <c r="J650" s="108">
        <f t="shared" si="49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1437358.45</v>
      </c>
      <c r="H651" s="103">
        <f>J598</f>
        <v>1437358.4500000002</v>
      </c>
      <c r="I651" s="139" t="s">
        <v>391</v>
      </c>
      <c r="J651" s="108">
        <f t="shared" si="49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0</v>
      </c>
      <c r="H652" s="103">
        <f>H235+K345</f>
        <v>0</v>
      </c>
      <c r="I652" s="139" t="s">
        <v>398</v>
      </c>
      <c r="J652" s="108">
        <f t="shared" si="49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49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0</v>
      </c>
      <c r="H654" s="103">
        <f>K265+K346</f>
        <v>0</v>
      </c>
      <c r="I654" s="139" t="s">
        <v>400</v>
      </c>
      <c r="J654" s="108">
        <f t="shared" si="49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0</v>
      </c>
      <c r="H655" s="103">
        <f>K266+K347</f>
        <v>0</v>
      </c>
      <c r="I655" s="139" t="s">
        <v>401</v>
      </c>
      <c r="J655" s="108">
        <f t="shared" si="49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2.9999911785125732E-3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29997738.189999998</v>
      </c>
      <c r="G660" s="19">
        <f>(L229+L309+L359)</f>
        <v>10186265.503000002</v>
      </c>
      <c r="H660" s="19">
        <f>(L247+L328+L360)</f>
        <v>22004789.73</v>
      </c>
      <c r="I660" s="19">
        <f>SUM(F660:H660)</f>
        <v>62188793.423000008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436819.59093475877</v>
      </c>
      <c r="G661" s="19">
        <f>(L359/IF(SUM(L358:L360)=0,1,SUM(L358:L360))*(SUM(G97:G110)))</f>
        <v>161568.19731671372</v>
      </c>
      <c r="H661" s="19">
        <f>(L360/IF(SUM(L358:L360)=0,1,SUM(L358:L360))*(SUM(G97:G110)))</f>
        <v>341853.99174852751</v>
      </c>
      <c r="I661" s="19">
        <f>SUM(F661:H661)</f>
        <v>940241.78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1356780.2100000002</v>
      </c>
      <c r="G662" s="19">
        <f>(L226+L306)-(J226+J306)</f>
        <v>455109.39</v>
      </c>
      <c r="H662" s="19">
        <f>(L244+L325)-(J244+J325)</f>
        <v>1437358.45</v>
      </c>
      <c r="I662" s="19">
        <f>SUM(F662:H662)</f>
        <v>3249248.05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770862.75</v>
      </c>
      <c r="G663" s="198">
        <f>SUM(G575:G587)+SUM(I602:I604)+L612</f>
        <v>604373.02</v>
      </c>
      <c r="H663" s="198">
        <f>SUM(H575:H587)+SUM(J602:J604)+L613</f>
        <v>2306119.62</v>
      </c>
      <c r="I663" s="19">
        <f>SUM(F663:H663)</f>
        <v>3681355.39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27433275.63906524</v>
      </c>
      <c r="G664" s="19">
        <f>G660-SUM(G661:G663)</f>
        <v>8965214.8956832886</v>
      </c>
      <c r="H664" s="19">
        <f>H660-SUM(H661:H663)</f>
        <v>17919457.668251473</v>
      </c>
      <c r="I664" s="19">
        <f>I660-SUM(I661:I663)</f>
        <v>54317948.203000009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1877.71</v>
      </c>
      <c r="G665" s="247">
        <v>599.57000000000005</v>
      </c>
      <c r="H665" s="247">
        <v>1289.99</v>
      </c>
      <c r="I665" s="19">
        <f>SUM(F665:H665)</f>
        <v>3767.2700000000004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14609.96</v>
      </c>
      <c r="G667" s="19">
        <f>ROUND(G664/G665,2)</f>
        <v>14952.74</v>
      </c>
      <c r="H667" s="19">
        <f>ROUND(H664/H665,2)</f>
        <v>13891.16</v>
      </c>
      <c r="I667" s="19">
        <f>ROUND(I664/I665,2)</f>
        <v>14418.38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-11.46</v>
      </c>
      <c r="I670" s="19">
        <f>SUM(F670:H670)</f>
        <v>-11.46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14609.96</v>
      </c>
      <c r="G672" s="19">
        <f>ROUND((G664+G669)/(G665+G670),2)</f>
        <v>14952.74</v>
      </c>
      <c r="H672" s="19">
        <f>ROUND((H664+H669)/(H665+H670),2)</f>
        <v>14015.67</v>
      </c>
      <c r="I672" s="19">
        <f>ROUND((I664+I669)/(I665+I670),2)</f>
        <v>14462.38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3" workbookViewId="0">
      <selection activeCell="C54"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Merrimack</v>
      </c>
      <c r="C1" s="237" t="s">
        <v>839</v>
      </c>
    </row>
    <row r="2" spans="1:3" x14ac:dyDescent="0.2">
      <c r="A2" s="232"/>
      <c r="B2" s="231"/>
    </row>
    <row r="3" spans="1:3" x14ac:dyDescent="0.2">
      <c r="A3" s="276" t="s">
        <v>784</v>
      </c>
      <c r="B3" s="276"/>
      <c r="C3" s="276"/>
    </row>
    <row r="4" spans="1:3" x14ac:dyDescent="0.2">
      <c r="A4" s="235"/>
      <c r="B4" s="236" t="str">
        <f>'DOE25'!H1</f>
        <v>DOE 25  2013-2014</v>
      </c>
      <c r="C4" s="235"/>
    </row>
    <row r="5" spans="1:3" x14ac:dyDescent="0.2">
      <c r="A5" s="232"/>
      <c r="B5" s="231"/>
    </row>
    <row r="6" spans="1:3" x14ac:dyDescent="0.2">
      <c r="A6" s="226"/>
      <c r="B6" s="275" t="s">
        <v>783</v>
      </c>
      <c r="C6" s="275"/>
    </row>
    <row r="7" spans="1:3" x14ac:dyDescent="0.2">
      <c r="A7" s="238" t="s">
        <v>786</v>
      </c>
      <c r="B7" s="273" t="s">
        <v>782</v>
      </c>
      <c r="C7" s="274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'DOE25'!F197+'DOE25'!F215+'DOE25'!F233+'DOE25'!F276+'DOE25'!F282+'DOE25'!F314</f>
        <v>15192500.32</v>
      </c>
      <c r="C9" s="228">
        <f>'DOE25'!G197+'DOE25'!G215+'DOE25'!G233+'DOE25'!G276+'DOE25'!G282+'DOE25'!G314</f>
        <v>8472615.1400000006</v>
      </c>
    </row>
    <row r="10" spans="1:3" x14ac:dyDescent="0.2">
      <c r="A10" t="s">
        <v>779</v>
      </c>
      <c r="B10" s="239">
        <v>15192500.32</v>
      </c>
      <c r="C10" s="239">
        <v>8472615.1400000006</v>
      </c>
    </row>
    <row r="11" spans="1:3" x14ac:dyDescent="0.2">
      <c r="A11" t="s">
        <v>780</v>
      </c>
      <c r="B11" s="239"/>
      <c r="C11" s="239"/>
    </row>
    <row r="12" spans="1:3" x14ac:dyDescent="0.2">
      <c r="A12" t="s">
        <v>781</v>
      </c>
      <c r="B12" s="239"/>
      <c r="C12" s="239"/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15192500.32</v>
      </c>
      <c r="C13" s="230">
        <f>SUM(C10:C12)</f>
        <v>8472615.1400000006</v>
      </c>
    </row>
    <row r="14" spans="1:3" x14ac:dyDescent="0.2">
      <c r="B14" s="229"/>
      <c r="C14" s="229"/>
    </row>
    <row r="15" spans="1:3" x14ac:dyDescent="0.2">
      <c r="B15" s="275" t="s">
        <v>783</v>
      </c>
      <c r="C15" s="275"/>
    </row>
    <row r="16" spans="1:3" x14ac:dyDescent="0.2">
      <c r="A16" s="238" t="s">
        <v>787</v>
      </c>
      <c r="B16" s="273" t="s">
        <v>707</v>
      </c>
      <c r="C16" s="274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7132690.4699999997</v>
      </c>
      <c r="C18" s="228">
        <f>'DOE25'!G198+'DOE25'!G216+'DOE25'!G234+'DOE25'!G277+'DOE25'!G296+'DOE25'!G315</f>
        <v>3944490.61</v>
      </c>
    </row>
    <row r="19" spans="1:3" x14ac:dyDescent="0.2">
      <c r="A19" t="s">
        <v>779</v>
      </c>
      <c r="B19" s="239">
        <f>3341152.31+207547.97</f>
        <v>3548700.2800000003</v>
      </c>
      <c r="C19" s="239">
        <v>2396694.36</v>
      </c>
    </row>
    <row r="20" spans="1:3" x14ac:dyDescent="0.2">
      <c r="A20" t="s">
        <v>780</v>
      </c>
      <c r="B20" s="239">
        <f>3583989.79+0.4</f>
        <v>3583990.19</v>
      </c>
      <c r="C20" s="239">
        <v>1547796.25</v>
      </c>
    </row>
    <row r="21" spans="1:3" x14ac:dyDescent="0.2">
      <c r="A21" t="s">
        <v>781</v>
      </c>
      <c r="B21" s="239"/>
      <c r="C21" s="239"/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7132690.4700000007</v>
      </c>
      <c r="C22" s="230">
        <f>SUM(C19:C21)</f>
        <v>3944490.61</v>
      </c>
    </row>
    <row r="23" spans="1:3" x14ac:dyDescent="0.2">
      <c r="B23" s="229"/>
      <c r="C23" s="229"/>
    </row>
    <row r="24" spans="1:3" x14ac:dyDescent="0.2">
      <c r="B24" s="275" t="s">
        <v>783</v>
      </c>
      <c r="C24" s="275"/>
    </row>
    <row r="25" spans="1:3" x14ac:dyDescent="0.2">
      <c r="A25" s="238" t="s">
        <v>788</v>
      </c>
      <c r="B25" s="273" t="s">
        <v>708</v>
      </c>
      <c r="C25" s="274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37109.68</v>
      </c>
      <c r="C27" s="233">
        <f>'DOE25'!G199+'DOE25'!G217+'DOE25'!G235+'DOE25'!G278+'DOE25'!G297+'DOE25'!G316</f>
        <v>1000</v>
      </c>
    </row>
    <row r="28" spans="1:3" x14ac:dyDescent="0.2">
      <c r="A28" t="s">
        <v>779</v>
      </c>
      <c r="B28" s="239">
        <v>37109.68</v>
      </c>
      <c r="C28" s="239">
        <v>1000</v>
      </c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37109.68</v>
      </c>
      <c r="C31" s="230">
        <f>SUM(C28:C30)</f>
        <v>1000</v>
      </c>
    </row>
    <row r="33" spans="1:3" x14ac:dyDescent="0.2">
      <c r="B33" s="275" t="s">
        <v>783</v>
      </c>
      <c r="C33" s="275"/>
    </row>
    <row r="34" spans="1:3" x14ac:dyDescent="0.2">
      <c r="A34" s="238" t="s">
        <v>789</v>
      </c>
      <c r="B34" s="273" t="s">
        <v>709</v>
      </c>
      <c r="C34" s="274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365577</v>
      </c>
      <c r="C36" s="234">
        <f>'DOE25'!G200+'DOE25'!G218+'DOE25'!G236+'DOE25'!G279+'DOE25'!G298+'DOE25'!G317</f>
        <v>205991.52</v>
      </c>
    </row>
    <row r="37" spans="1:3" x14ac:dyDescent="0.2">
      <c r="A37" t="s">
        <v>779</v>
      </c>
      <c r="B37" s="239">
        <v>331943.92</v>
      </c>
      <c r="C37" s="239">
        <v>186422.33</v>
      </c>
    </row>
    <row r="38" spans="1:3" x14ac:dyDescent="0.2">
      <c r="A38" t="s">
        <v>780</v>
      </c>
      <c r="B38" s="239">
        <v>33633.08</v>
      </c>
      <c r="C38" s="239">
        <v>19569.189999999999</v>
      </c>
    </row>
    <row r="39" spans="1:3" x14ac:dyDescent="0.2">
      <c r="A39" t="s">
        <v>781</v>
      </c>
      <c r="B39" s="239"/>
      <c r="C39" s="239"/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365577</v>
      </c>
      <c r="C40" s="230">
        <f>SUM(C37:C39)</f>
        <v>205991.52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0"/>
    </row>
    <row r="2" spans="1:9" x14ac:dyDescent="0.2">
      <c r="A2" s="33" t="s">
        <v>717</v>
      </c>
      <c r="B2" s="264" t="str">
        <f>'DOE25'!A2</f>
        <v>Merrimack</v>
      </c>
      <c r="C2" s="180"/>
      <c r="D2" s="180" t="s">
        <v>792</v>
      </c>
      <c r="E2" s="180" t="s">
        <v>794</v>
      </c>
      <c r="F2" s="277" t="s">
        <v>821</v>
      </c>
      <c r="G2" s="278"/>
      <c r="H2" s="279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40217530.409999996</v>
      </c>
      <c r="D5" s="20">
        <f>SUM('DOE25'!L197:L200)+SUM('DOE25'!L215:L218)+SUM('DOE25'!L233:L236)-F5-G5</f>
        <v>39972814.859999999</v>
      </c>
      <c r="E5" s="242"/>
      <c r="F5" s="254">
        <f>SUM('DOE25'!J197:J200)+SUM('DOE25'!J215:J218)+SUM('DOE25'!J233:J236)</f>
        <v>231314.58000000002</v>
      </c>
      <c r="G5" s="53">
        <f>SUM('DOE25'!K197:K200)+SUM('DOE25'!K215:K218)+SUM('DOE25'!K233:K236)</f>
        <v>13400.97</v>
      </c>
      <c r="H5" s="258"/>
    </row>
    <row r="6" spans="1:9" x14ac:dyDescent="0.2">
      <c r="A6" s="32">
        <v>2100</v>
      </c>
      <c r="B6" t="s">
        <v>801</v>
      </c>
      <c r="C6" s="244">
        <f t="shared" si="0"/>
        <v>4690523.41</v>
      </c>
      <c r="D6" s="20">
        <f>'DOE25'!L202+'DOE25'!L220+'DOE25'!L238-F6-G6</f>
        <v>4690523.41</v>
      </c>
      <c r="E6" s="242"/>
      <c r="F6" s="254">
        <f>'DOE25'!J202+'DOE25'!J220+'DOE25'!J238</f>
        <v>0</v>
      </c>
      <c r="G6" s="53">
        <f>'DOE25'!K202+'DOE25'!K220+'DOE25'!K238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1477804.87</v>
      </c>
      <c r="D7" s="20">
        <f>'DOE25'!L203+'DOE25'!L221+'DOE25'!L239-F7-G7</f>
        <v>1460249.8900000001</v>
      </c>
      <c r="E7" s="242"/>
      <c r="F7" s="254">
        <f>'DOE25'!J203+'DOE25'!J221+'DOE25'!J239</f>
        <v>16620.98</v>
      </c>
      <c r="G7" s="53">
        <f>'DOE25'!K203+'DOE25'!K221+'DOE25'!K239</f>
        <v>934</v>
      </c>
      <c r="H7" s="258"/>
    </row>
    <row r="8" spans="1:9" x14ac:dyDescent="0.2">
      <c r="A8" s="32">
        <v>2300</v>
      </c>
      <c r="B8" t="s">
        <v>802</v>
      </c>
      <c r="C8" s="244">
        <f t="shared" si="0"/>
        <v>1094798.46</v>
      </c>
      <c r="D8" s="242"/>
      <c r="E8" s="20">
        <f>'DOE25'!L204+'DOE25'!L222+'DOE25'!L240-F8-G8-D9-D11</f>
        <v>1057103.25</v>
      </c>
      <c r="F8" s="254">
        <f>'DOE25'!J204+'DOE25'!J222+'DOE25'!J240</f>
        <v>14901.55</v>
      </c>
      <c r="G8" s="53">
        <f>'DOE25'!K204+'DOE25'!K222+'DOE25'!K240</f>
        <v>22793.66</v>
      </c>
      <c r="H8" s="258"/>
    </row>
    <row r="9" spans="1:9" x14ac:dyDescent="0.2">
      <c r="A9" s="32">
        <v>2310</v>
      </c>
      <c r="B9" t="s">
        <v>818</v>
      </c>
      <c r="C9" s="244">
        <f t="shared" si="0"/>
        <v>138682.35</v>
      </c>
      <c r="D9" s="243">
        <v>138682.35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36600</v>
      </c>
      <c r="D10" s="242"/>
      <c r="E10" s="243">
        <v>36600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435388.41</v>
      </c>
      <c r="D11" s="243">
        <v>435388.41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3011955.33</v>
      </c>
      <c r="D12" s="20">
        <f>'DOE25'!L205+'DOE25'!L223+'DOE25'!L241-F12-G12</f>
        <v>2921723.48</v>
      </c>
      <c r="E12" s="242"/>
      <c r="F12" s="254">
        <f>'DOE25'!J205+'DOE25'!J223+'DOE25'!K241</f>
        <v>41655.18</v>
      </c>
      <c r="G12" s="53">
        <f>'DOE25'!K205+'DOE25'!K223+'DOE25'!K241</f>
        <v>48576.67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615733.11</v>
      </c>
      <c r="D13" s="242"/>
      <c r="E13" s="20">
        <f>'DOE25'!L206+'DOE25'!L224+'DOE25'!L242-F13-G13</f>
        <v>607694.5</v>
      </c>
      <c r="F13" s="254">
        <f>'DOE25'!J206+'DOE25'!J224+'DOE25'!J242</f>
        <v>0</v>
      </c>
      <c r="G13" s="53">
        <f>'DOE25'!K206+'DOE25'!K224+'DOE25'!K242</f>
        <v>8038.6100000000006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4516906.0999999996</v>
      </c>
      <c r="D14" s="20">
        <f>'DOE25'!L207+'DOE25'!L225+'DOE25'!L243-F14-G14</f>
        <v>4506498.84</v>
      </c>
      <c r="E14" s="242"/>
      <c r="F14" s="254">
        <f>'DOE25'!J207+'DOE25'!J225+'DOE25'!J243</f>
        <v>10407.26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3249248.05</v>
      </c>
      <c r="D15" s="20">
        <f>'DOE25'!L208+'DOE25'!L226+'DOE25'!L244-F15-G15</f>
        <v>3249248.05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146600.29</v>
      </c>
      <c r="D16" s="242"/>
      <c r="E16" s="20">
        <f>'DOE25'!L209+'DOE25'!L227+'DOE25'!L245-F16-G16</f>
        <v>146600.29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8192.6299999999992</v>
      </c>
      <c r="D17" s="20">
        <f>'DOE25'!L251-F17-G17</f>
        <v>8192.6299999999992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997165.45</v>
      </c>
      <c r="D22" s="242"/>
      <c r="E22" s="242"/>
      <c r="F22" s="254">
        <f>'DOE25'!L255+'DOE25'!L336</f>
        <v>997165.45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1537777.2</v>
      </c>
      <c r="D25" s="242"/>
      <c r="E25" s="242"/>
      <c r="F25" s="257"/>
      <c r="G25" s="255"/>
      <c r="H25" s="256">
        <f>'DOE25'!L260+'DOE25'!L261+'DOE25'!L341+'DOE25'!L342</f>
        <v>1537777.2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665804.37299999991</v>
      </c>
      <c r="D29" s="20">
        <f>'DOE25'!L358+'DOE25'!L359+'DOE25'!L360-'DOE25'!I367-F29-G29</f>
        <v>659616.14999999991</v>
      </c>
      <c r="E29" s="242"/>
      <c r="F29" s="254">
        <f>'DOE25'!J358+'DOE25'!J359+'DOE25'!J360</f>
        <v>4459.5230000000001</v>
      </c>
      <c r="G29" s="53">
        <f>'DOE25'!K358+'DOE25'!K359+'DOE25'!K360</f>
        <v>1728.7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1428324.2</v>
      </c>
      <c r="D31" s="20">
        <f>'DOE25'!L290+'DOE25'!L309+'DOE25'!L328+'DOE25'!L333+'DOE25'!L334+'DOE25'!L335-F31-G31</f>
        <v>1384761.89</v>
      </c>
      <c r="E31" s="242"/>
      <c r="F31" s="254">
        <f>'DOE25'!J290+'DOE25'!J309+'DOE25'!J328+'DOE25'!J333+'DOE25'!J334+'DOE25'!J335</f>
        <v>42962.31</v>
      </c>
      <c r="G31" s="53">
        <f>'DOE25'!K290+'DOE25'!K309+'DOE25'!K328+'DOE25'!K333+'DOE25'!K334+'DOE25'!K335</f>
        <v>600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59427699.959999993</v>
      </c>
      <c r="E33" s="245">
        <f>SUM(E5:E31)</f>
        <v>1847998.04</v>
      </c>
      <c r="F33" s="245">
        <f>SUM(F5:F31)</f>
        <v>1359486.8330000001</v>
      </c>
      <c r="G33" s="245">
        <f>SUM(G5:G31)</f>
        <v>96072.609999999986</v>
      </c>
      <c r="H33" s="245">
        <f>SUM(H5:H31)</f>
        <v>1537777.2</v>
      </c>
    </row>
    <row r="35" spans="2:8" ht="12" thickBot="1" x14ac:dyDescent="0.25">
      <c r="B35" s="252" t="s">
        <v>847</v>
      </c>
      <c r="D35" s="253">
        <f>E33</f>
        <v>1847998.04</v>
      </c>
      <c r="E35" s="248"/>
    </row>
    <row r="36" spans="2:8" ht="12" thickTop="1" x14ac:dyDescent="0.2">
      <c r="B36" t="s">
        <v>815</v>
      </c>
      <c r="D36" s="20">
        <f>D33</f>
        <v>59427699.959999993</v>
      </c>
    </row>
    <row r="38" spans="2:8" x14ac:dyDescent="0.2">
      <c r="B38" s="186" t="s">
        <v>895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66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Merrimack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5394801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0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188018</v>
      </c>
      <c r="D11" s="94">
        <f>'DOE25'!G12</f>
        <v>12379.57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766086</v>
      </c>
      <c r="D12" s="94">
        <f>'DOE25'!G13</f>
        <v>0</v>
      </c>
      <c r="E12" s="94">
        <f>'DOE25'!H13</f>
        <v>0</v>
      </c>
      <c r="F12" s="94">
        <f>'DOE25'!I13</f>
        <v>0</v>
      </c>
      <c r="G12" s="94">
        <f>'DOE25'!J13</f>
        <v>663866.72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102246</v>
      </c>
      <c r="D13" s="94">
        <f>'DOE25'!G14</f>
        <v>44980</v>
      </c>
      <c r="E13" s="94">
        <f>'DOE25'!H14</f>
        <v>304670.2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6451151</v>
      </c>
      <c r="D18" s="41">
        <f>SUM(D8:D17)</f>
        <v>57359.57</v>
      </c>
      <c r="E18" s="41">
        <f>SUM(E8:E17)</f>
        <v>304670.2</v>
      </c>
      <c r="F18" s="41">
        <f>SUM(F8:F17)</f>
        <v>0</v>
      </c>
      <c r="G18" s="41">
        <f>SUM(G8:G17)</f>
        <v>663866.72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265336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108861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108861</v>
      </c>
      <c r="D31" s="41">
        <f>SUM(D21:D30)</f>
        <v>0</v>
      </c>
      <c r="E31" s="41">
        <f>SUM(E21:E30)</f>
        <v>265336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39859.199999999997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57359.57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27542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745265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905</v>
      </c>
      <c r="B45" s="6"/>
      <c r="C45" s="94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906</v>
      </c>
      <c r="B47" s="6">
        <v>760</v>
      </c>
      <c r="C47" s="94">
        <f>'DOE25'!F48</f>
        <v>30316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663866.72</v>
      </c>
      <c r="H47" s="123"/>
      <c r="I47" s="123"/>
    </row>
    <row r="48" spans="1:9" x14ac:dyDescent="0.2">
      <c r="A48" s="1" t="s">
        <v>907</v>
      </c>
      <c r="B48" s="6">
        <v>753</v>
      </c>
      <c r="C48" s="94">
        <f>'DOE25'!F49</f>
        <v>695419.85</v>
      </c>
      <c r="D48" s="94">
        <f>'DOE25'!G49</f>
        <v>0</v>
      </c>
      <c r="E48" s="94">
        <f>'DOE25'!H49</f>
        <v>-525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908</v>
      </c>
      <c r="B49" s="70">
        <v>770</v>
      </c>
      <c r="C49" s="94">
        <f>'DOE25'!F50</f>
        <v>4843747.1500000004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909</v>
      </c>
      <c r="B50" s="48"/>
      <c r="C50" s="41">
        <f>SUM(C34:C49)</f>
        <v>6342290</v>
      </c>
      <c r="D50" s="41">
        <f>SUM(D34:D49)</f>
        <v>57359.57</v>
      </c>
      <c r="E50" s="41">
        <f>SUM(E34:E49)</f>
        <v>39334.199999999997</v>
      </c>
      <c r="F50" s="41">
        <f>SUM(F34:F49)</f>
        <v>0</v>
      </c>
      <c r="G50" s="41">
        <f>SUM(G34:G49)</f>
        <v>663866.72</v>
      </c>
      <c r="H50" s="123"/>
      <c r="I50" s="123"/>
    </row>
    <row r="51" spans="1:9" ht="12" thickTop="1" x14ac:dyDescent="0.2">
      <c r="A51" s="38" t="s">
        <v>910</v>
      </c>
      <c r="B51" s="2"/>
      <c r="C51" s="41">
        <f>C50+C31</f>
        <v>6451151</v>
      </c>
      <c r="D51" s="41">
        <f>D50+D31</f>
        <v>57359.57</v>
      </c>
      <c r="E51" s="41">
        <f>E50+E31</f>
        <v>304670.2</v>
      </c>
      <c r="F51" s="41">
        <f>F50+F31</f>
        <v>0</v>
      </c>
      <c r="G51" s="41">
        <f>G50+G31</f>
        <v>663866.72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44221972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146593.4</v>
      </c>
      <c r="D57" s="24" t="s">
        <v>289</v>
      </c>
      <c r="E57" s="94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21400</v>
      </c>
      <c r="D58" s="24" t="s">
        <v>289</v>
      </c>
      <c r="E58" s="94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5937.27</v>
      </c>
      <c r="D59" s="94">
        <f>'DOE25'!G96</f>
        <v>0</v>
      </c>
      <c r="E59" s="94">
        <f>'DOE25'!H96</f>
        <v>0</v>
      </c>
      <c r="F59" s="94">
        <f>'DOE25'!I96</f>
        <v>0</v>
      </c>
      <c r="G59" s="94">
        <f>'DOE25'!J96</f>
        <v>5963.87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940241.78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1573944.44</v>
      </c>
      <c r="D61" s="94">
        <f>SUM('DOE25'!G98:G110)</f>
        <v>0</v>
      </c>
      <c r="E61" s="94">
        <f>SUM('DOE25'!H98:H110)</f>
        <v>0</v>
      </c>
      <c r="F61" s="94">
        <f>SUM('DOE25'!I98:I110)</f>
        <v>0</v>
      </c>
      <c r="G61" s="94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1747875.1099999999</v>
      </c>
      <c r="D62" s="129">
        <f>SUM(D57:D61)</f>
        <v>940241.78</v>
      </c>
      <c r="E62" s="129">
        <f>SUM(E57:E61)</f>
        <v>0</v>
      </c>
      <c r="F62" s="129">
        <f>SUM(F57:F61)</f>
        <v>0</v>
      </c>
      <c r="G62" s="129">
        <f>SUM(G57:G61)</f>
        <v>5963.87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45969847.109999999</v>
      </c>
      <c r="D63" s="22">
        <f>D56+D62</f>
        <v>940241.78</v>
      </c>
      <c r="E63" s="22">
        <f>E56+E62</f>
        <v>0</v>
      </c>
      <c r="F63" s="22">
        <f>F56+F62</f>
        <v>0</v>
      </c>
      <c r="G63" s="22">
        <f>G56+G62</f>
        <v>5963.87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9441456.5199999996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6652048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0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16093504.52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400444.5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1023229.64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9215.4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16609.810000000001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1432889.54</v>
      </c>
      <c r="D78" s="129">
        <f>SUM(D72:D77)</f>
        <v>16609.810000000001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17526394.059999999</v>
      </c>
      <c r="D81" s="129">
        <f>SUM(D79:D80)+D78+D70</f>
        <v>16609.810000000001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0</v>
      </c>
      <c r="D87" s="24" t="s">
        <v>289</v>
      </c>
      <c r="E87" s="94">
        <f>SUM('DOE25'!H149:H152)</f>
        <v>138337.17000000001</v>
      </c>
      <c r="F87" s="94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867015.53</v>
      </c>
      <c r="D88" s="94">
        <f>SUM('DOE25'!G153:G161)</f>
        <v>237264.76</v>
      </c>
      <c r="E88" s="94">
        <f>SUM('DOE25'!H153:H161)</f>
        <v>1289236.03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867015.53</v>
      </c>
      <c r="D91" s="130">
        <f>SUM(D85:D90)</f>
        <v>237264.76</v>
      </c>
      <c r="E91" s="130">
        <f>SUM(E85:E90)</f>
        <v>1427573.2</v>
      </c>
      <c r="F91" s="130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0</v>
      </c>
      <c r="E96" s="94">
        <f>'DOE25'!H179</f>
        <v>0</v>
      </c>
      <c r="F96" s="94">
        <f>'DOE25'!I179</f>
        <v>0</v>
      </c>
      <c r="G96" s="94">
        <f>'DOE25'!J179</f>
        <v>0</v>
      </c>
    </row>
    <row r="97" spans="1:7" x14ac:dyDescent="0.2">
      <c r="A97" t="s">
        <v>758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67652.3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67652.3</v>
      </c>
      <c r="D103" s="85">
        <f>SUM(D93:D102)</f>
        <v>0</v>
      </c>
      <c r="E103" s="85">
        <f>SUM(E93:E102)</f>
        <v>0</v>
      </c>
      <c r="F103" s="85">
        <f>SUM(F93:F102)</f>
        <v>0</v>
      </c>
      <c r="G103" s="85">
        <f>SUM(G93:G102)</f>
        <v>0</v>
      </c>
    </row>
    <row r="104" spans="1:7" ht="12.75" thickTop="1" thickBot="1" x14ac:dyDescent="0.25">
      <c r="A104" s="33" t="s">
        <v>765</v>
      </c>
      <c r="C104" s="85">
        <f>C63+C81+C91+C103</f>
        <v>64430909</v>
      </c>
      <c r="D104" s="85">
        <f>D63+D81+D91+D103</f>
        <v>1194116.3500000001</v>
      </c>
      <c r="E104" s="85">
        <f>E63+E81+E91+E103</f>
        <v>1427573.2</v>
      </c>
      <c r="F104" s="85">
        <f>F63+F81+F91+F103</f>
        <v>0</v>
      </c>
      <c r="G104" s="85">
        <f>G63+G81+G103</f>
        <v>5963.87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24425692.369999997</v>
      </c>
      <c r="D109" s="24" t="s">
        <v>289</v>
      </c>
      <c r="E109" s="94">
        <f>('DOE25'!L276)+('DOE25'!L295)+('DOE25'!L314)</f>
        <v>178646.34999999998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14996786.77</v>
      </c>
      <c r="D110" s="24" t="s">
        <v>289</v>
      </c>
      <c r="E110" s="94">
        <f>('DOE25'!L277)+('DOE25'!L296)+('DOE25'!L315)</f>
        <v>231206.43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38109.68</v>
      </c>
      <c r="D111" s="24" t="s">
        <v>289</v>
      </c>
      <c r="E111" s="94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756941.59000000008</v>
      </c>
      <c r="D112" s="24" t="s">
        <v>289</v>
      </c>
      <c r="E112" s="94">
        <f>+('DOE25'!L279)+('DOE25'!L298)+('DOE25'!L317)</f>
        <v>538.25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8192.6299999999992</v>
      </c>
      <c r="D114" s="24" t="s">
        <v>289</v>
      </c>
      <c r="E114" s="94">
        <f>+ SUM('DOE25'!L333:L335)</f>
        <v>13200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40225723.040000007</v>
      </c>
      <c r="D115" s="85">
        <f>SUM(D109:D114)</f>
        <v>0</v>
      </c>
      <c r="E115" s="85">
        <f>SUM(E109:E114)</f>
        <v>423591.02999999997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4690523.41</v>
      </c>
      <c r="D118" s="24" t="s">
        <v>289</v>
      </c>
      <c r="E118" s="94">
        <f>+('DOE25'!L281)+('DOE25'!L300)+('DOE25'!L319)</f>
        <v>597416.76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1477804.87</v>
      </c>
      <c r="D119" s="24" t="s">
        <v>289</v>
      </c>
      <c r="E119" s="94">
        <f>+('DOE25'!L282)+('DOE25'!L301)+('DOE25'!L320)</f>
        <v>268126.36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1668869.22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3011955.33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615733.11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4516906.0999999996</v>
      </c>
      <c r="D123" s="24" t="s">
        <v>289</v>
      </c>
      <c r="E123" s="94">
        <f>+('DOE25'!L286)+('DOE25'!L305)+('DOE25'!L324)</f>
        <v>139190.04999999999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3249248.05</v>
      </c>
      <c r="D124" s="24" t="s">
        <v>289</v>
      </c>
      <c r="E124" s="94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146600.29</v>
      </c>
      <c r="D125" s="24" t="s">
        <v>289</v>
      </c>
      <c r="E125" s="94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1178498.433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19377640.379999999</v>
      </c>
      <c r="D128" s="85">
        <f>SUM(D118:D127)</f>
        <v>1178498.433</v>
      </c>
      <c r="E128" s="85">
        <f>SUM(E118:E127)</f>
        <v>1004733.1699999999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997165.45</v>
      </c>
      <c r="D130" s="24" t="s">
        <v>289</v>
      </c>
      <c r="E130" s="128">
        <f>'DOE25'!L336</f>
        <v>0</v>
      </c>
      <c r="F130" s="128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1070000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467777.2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0</v>
      </c>
    </row>
    <row r="135" spans="1:7" x14ac:dyDescent="0.2">
      <c r="A135" t="s">
        <v>233</v>
      </c>
      <c r="B135" s="32" t="s">
        <v>234</v>
      </c>
      <c r="C135" s="94">
        <f>'DOE25'!L263</f>
        <v>0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617.08999999999992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5346.78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-5963.87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2534942.6499999994</v>
      </c>
      <c r="D144" s="140">
        <f>SUM(D130:D143)</f>
        <v>0</v>
      </c>
      <c r="E144" s="140">
        <f>SUM(E130:E143)</f>
        <v>0</v>
      </c>
      <c r="F144" s="140">
        <f>SUM(F130:F143)</f>
        <v>0</v>
      </c>
      <c r="G144" s="140">
        <f>SUM(G130:G143)</f>
        <v>0</v>
      </c>
    </row>
    <row r="145" spans="1:9" ht="12.75" thickTop="1" thickBot="1" x14ac:dyDescent="0.25">
      <c r="A145" s="33" t="s">
        <v>244</v>
      </c>
      <c r="C145" s="85">
        <f>(C115+C128+C144)</f>
        <v>62138306.07</v>
      </c>
      <c r="D145" s="85">
        <f>(D115+D128+D144)</f>
        <v>1178498.433</v>
      </c>
      <c r="E145" s="85">
        <f>(E115+E128+E144)</f>
        <v>1428324.2</v>
      </c>
      <c r="F145" s="85">
        <f>(F115+F128+F144)</f>
        <v>0</v>
      </c>
      <c r="G145" s="85">
        <f>(G115+G128+G144)</f>
        <v>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2">
        <f>'DOE25'!F490</f>
        <v>20</v>
      </c>
      <c r="C151" s="152">
        <f>'DOE25'!G490</f>
        <v>20</v>
      </c>
      <c r="D151" s="152">
        <f>'DOE25'!H490</f>
        <v>12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5" t="s">
        <v>28</v>
      </c>
      <c r="B152" s="151" t="str">
        <f>'DOE25'!F491</f>
        <v>2/01</v>
      </c>
      <c r="C152" s="151" t="str">
        <f>'DOE25'!G491</f>
        <v>2/04</v>
      </c>
      <c r="D152" s="151" t="str">
        <f>'DOE25'!H491</f>
        <v>07/07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5" t="s">
        <v>29</v>
      </c>
      <c r="B153" s="151" t="str">
        <f>'DOE25'!F492</f>
        <v>8/20</v>
      </c>
      <c r="C153" s="151" t="str">
        <f>'DOE25'!G492</f>
        <v>8/23</v>
      </c>
      <c r="D153" s="151" t="str">
        <f>'DOE25'!H492</f>
        <v>07/20</v>
      </c>
      <c r="E153" s="151">
        <f>'DOE25'!I492</f>
        <v>0</v>
      </c>
      <c r="F153" s="151">
        <f>'DOE25'!J492</f>
        <v>0</v>
      </c>
      <c r="G153" s="24" t="s">
        <v>289</v>
      </c>
    </row>
    <row r="154" spans="1:9" x14ac:dyDescent="0.2">
      <c r="A154" s="135" t="s">
        <v>30</v>
      </c>
      <c r="B154" s="136">
        <f>'DOE25'!F493</f>
        <v>5915851</v>
      </c>
      <c r="C154" s="136">
        <f>'DOE25'!G493</f>
        <v>15525000</v>
      </c>
      <c r="D154" s="136">
        <f>'DOE25'!H493</f>
        <v>3675816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135" t="s">
        <v>31</v>
      </c>
      <c r="B155" s="136">
        <f>'DOE25'!F494</f>
        <v>5.31</v>
      </c>
      <c r="C155" s="136">
        <f>'DOE25'!G494</f>
        <v>3.52</v>
      </c>
      <c r="D155" s="136">
        <f>'DOE25'!H494</f>
        <v>4.4800000000000004</v>
      </c>
      <c r="E155" s="136">
        <f>'DOE25'!I494</f>
        <v>0</v>
      </c>
      <c r="F155" s="136">
        <f>'DOE25'!J494</f>
        <v>0</v>
      </c>
      <c r="G155" s="24" t="s">
        <v>289</v>
      </c>
    </row>
    <row r="156" spans="1:9" x14ac:dyDescent="0.2">
      <c r="A156" s="22" t="s">
        <v>32</v>
      </c>
      <c r="B156" s="136">
        <f>'DOE25'!F495</f>
        <v>2360000</v>
      </c>
      <c r="C156" s="136">
        <f>'DOE25'!G495</f>
        <v>8525000</v>
      </c>
      <c r="D156" s="136">
        <f>'DOE25'!H495</f>
        <v>2743474.7600000002</v>
      </c>
      <c r="E156" s="136">
        <f>'DOE25'!I495</f>
        <v>0</v>
      </c>
      <c r="F156" s="136">
        <f>'DOE25'!J495</f>
        <v>0</v>
      </c>
      <c r="G156" s="137">
        <f>SUM(B156:F156)</f>
        <v>13628474.76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295000</v>
      </c>
      <c r="C158" s="136">
        <f>'DOE25'!G497</f>
        <v>775000</v>
      </c>
      <c r="D158" s="136">
        <f>'DOE25'!H497</f>
        <v>245382</v>
      </c>
      <c r="E158" s="136">
        <f>'DOE25'!I497</f>
        <v>0</v>
      </c>
      <c r="F158" s="136">
        <f>'DOE25'!J497</f>
        <v>0</v>
      </c>
      <c r="G158" s="137">
        <f t="shared" si="0"/>
        <v>1315382</v>
      </c>
    </row>
    <row r="159" spans="1:9" x14ac:dyDescent="0.2">
      <c r="A159" s="22" t="s">
        <v>35</v>
      </c>
      <c r="B159" s="136">
        <f>'DOE25'!F498</f>
        <v>2065000</v>
      </c>
      <c r="C159" s="136">
        <f>'DOE25'!G498</f>
        <v>7750000</v>
      </c>
      <c r="D159" s="136">
        <f>'DOE25'!H498</f>
        <v>2204787</v>
      </c>
      <c r="E159" s="136">
        <f>'DOE25'!I498</f>
        <v>0</v>
      </c>
      <c r="F159" s="136">
        <f>'DOE25'!J498</f>
        <v>0</v>
      </c>
      <c r="G159" s="137">
        <f t="shared" si="0"/>
        <v>12019787</v>
      </c>
    </row>
    <row r="160" spans="1:9" x14ac:dyDescent="0.2">
      <c r="A160" s="22" t="s">
        <v>36</v>
      </c>
      <c r="B160" s="136">
        <f>'DOE25'!F499</f>
        <v>338732.5</v>
      </c>
      <c r="C160" s="136">
        <f>'DOE25'!G499</f>
        <v>1851650</v>
      </c>
      <c r="D160" s="136">
        <f>'DOE25'!H499</f>
        <v>370694</v>
      </c>
      <c r="E160" s="136">
        <f>'DOE25'!I499</f>
        <v>0</v>
      </c>
      <c r="F160" s="136">
        <f>'DOE25'!J499</f>
        <v>0</v>
      </c>
      <c r="G160" s="137">
        <f t="shared" si="0"/>
        <v>2561076.5</v>
      </c>
    </row>
    <row r="161" spans="1:7" x14ac:dyDescent="0.2">
      <c r="A161" s="22" t="s">
        <v>37</v>
      </c>
      <c r="B161" s="136">
        <f>'DOE25'!F500</f>
        <v>2403732.5</v>
      </c>
      <c r="C161" s="136">
        <f>'DOE25'!G500</f>
        <v>9601650</v>
      </c>
      <c r="D161" s="136">
        <f>'DOE25'!H500</f>
        <v>2575481</v>
      </c>
      <c r="E161" s="136">
        <f>'DOE25'!I500</f>
        <v>0</v>
      </c>
      <c r="F161" s="136">
        <f>'DOE25'!J500</f>
        <v>0</v>
      </c>
      <c r="G161" s="137">
        <f t="shared" si="0"/>
        <v>14580863.5</v>
      </c>
    </row>
    <row r="162" spans="1:7" x14ac:dyDescent="0.2">
      <c r="A162" s="22" t="s">
        <v>38</v>
      </c>
      <c r="B162" s="136">
        <f>'DOE25'!F501</f>
        <v>295000</v>
      </c>
      <c r="C162" s="136">
        <f>'DOE25'!G501</f>
        <v>775000</v>
      </c>
      <c r="D162" s="136">
        <f>'DOE25'!H501</f>
        <v>321610</v>
      </c>
      <c r="E162" s="136">
        <f>'DOE25'!I501</f>
        <v>0</v>
      </c>
      <c r="F162" s="136">
        <f>'DOE25'!J501</f>
        <v>0</v>
      </c>
      <c r="G162" s="137">
        <f t="shared" si="0"/>
        <v>1391610</v>
      </c>
    </row>
    <row r="163" spans="1:7" x14ac:dyDescent="0.2">
      <c r="A163" s="22" t="s">
        <v>39</v>
      </c>
      <c r="B163" s="136">
        <f>'DOE25'!F502</f>
        <v>130914</v>
      </c>
      <c r="C163" s="136">
        <f>'DOE25'!G502</f>
        <v>337125</v>
      </c>
      <c r="D163" s="136">
        <f>'DOE25'!H502</f>
        <v>85772</v>
      </c>
      <c r="E163" s="136">
        <f>'DOE25'!I502</f>
        <v>0</v>
      </c>
      <c r="F163" s="136">
        <f>'DOE25'!J502</f>
        <v>0</v>
      </c>
      <c r="G163" s="137">
        <f t="shared" si="0"/>
        <v>553811</v>
      </c>
    </row>
    <row r="164" spans="1:7" x14ac:dyDescent="0.2">
      <c r="A164" s="22" t="s">
        <v>246</v>
      </c>
      <c r="B164" s="136">
        <f>'DOE25'!F503</f>
        <v>425914</v>
      </c>
      <c r="C164" s="136">
        <f>'DOE25'!G503</f>
        <v>1112125</v>
      </c>
      <c r="D164" s="136">
        <f>'DOE25'!H503</f>
        <v>407382</v>
      </c>
      <c r="E164" s="136">
        <f>'DOE25'!I503</f>
        <v>0</v>
      </c>
      <c r="F164" s="136">
        <f>'DOE25'!J503</f>
        <v>0</v>
      </c>
      <c r="G164" s="137">
        <f t="shared" si="0"/>
        <v>1945421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9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6" t="s">
        <v>717</v>
      </c>
      <c r="B2" s="185" t="str">
        <f>'DOE25'!A2</f>
        <v>Merrimack</v>
      </c>
    </row>
    <row r="3" spans="1:4" x14ac:dyDescent="0.2">
      <c r="B3" s="187" t="s">
        <v>896</v>
      </c>
    </row>
    <row r="4" spans="1:4" x14ac:dyDescent="0.2">
      <c r="B4" t="s">
        <v>61</v>
      </c>
      <c r="C4" s="178">
        <f>IF('DOE25'!F665+'DOE25'!F670=0,0,ROUND('DOE25'!F672,0))</f>
        <v>14610</v>
      </c>
    </row>
    <row r="5" spans="1:4" x14ac:dyDescent="0.2">
      <c r="B5" t="s">
        <v>704</v>
      </c>
      <c r="C5" s="178">
        <f>IF('DOE25'!G665+'DOE25'!G670=0,0,ROUND('DOE25'!G672,0))</f>
        <v>14953</v>
      </c>
    </row>
    <row r="6" spans="1:4" x14ac:dyDescent="0.2">
      <c r="B6" t="s">
        <v>62</v>
      </c>
      <c r="C6" s="178">
        <f>IF('DOE25'!H665+'DOE25'!H670=0,0,ROUND('DOE25'!H672,0))</f>
        <v>14016</v>
      </c>
    </row>
    <row r="7" spans="1:4" x14ac:dyDescent="0.2">
      <c r="B7" t="s">
        <v>705</v>
      </c>
      <c r="C7" s="178">
        <f>IF('DOE25'!I665+'DOE25'!I670=0,0,ROUND('DOE25'!I672,0))</f>
        <v>14462</v>
      </c>
    </row>
    <row r="9" spans="1:4" x14ac:dyDescent="0.2">
      <c r="A9" s="186" t="s">
        <v>94</v>
      </c>
      <c r="B9" s="187" t="s">
        <v>897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24604339</v>
      </c>
      <c r="D10" s="181">
        <f>ROUND((C10/$C$28)*100,1)</f>
        <v>39.9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15227993</v>
      </c>
      <c r="D11" s="181">
        <f>ROUND((C11/$C$28)*100,1)</f>
        <v>24.7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38110</v>
      </c>
      <c r="D12" s="181">
        <f>ROUND((C12/$C$28)*100,1)</f>
        <v>0.1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757480</v>
      </c>
      <c r="D13" s="181">
        <f>ROUND((C13/$C$28)*100,1)</f>
        <v>1.2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5287940</v>
      </c>
      <c r="D15" s="181">
        <f t="shared" ref="D15:D27" si="0">ROUND((C15/$C$28)*100,1)</f>
        <v>8.6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1745931</v>
      </c>
      <c r="D16" s="181">
        <f t="shared" si="0"/>
        <v>2.8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1815470</v>
      </c>
      <c r="D17" s="181">
        <f t="shared" si="0"/>
        <v>2.9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3011955</v>
      </c>
      <c r="D18" s="181">
        <f t="shared" si="0"/>
        <v>4.9000000000000004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615733</v>
      </c>
      <c r="D19" s="181">
        <f t="shared" si="0"/>
        <v>1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4656096</v>
      </c>
      <c r="D20" s="181">
        <f t="shared" si="0"/>
        <v>7.5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3249248</v>
      </c>
      <c r="D21" s="181">
        <f t="shared" si="0"/>
        <v>5.3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21393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467777</v>
      </c>
      <c r="D25" s="181">
        <f t="shared" si="0"/>
        <v>0.8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238256.21999999997</v>
      </c>
      <c r="D27" s="181">
        <f t="shared" si="0"/>
        <v>0.4</v>
      </c>
    </row>
    <row r="28" spans="1:4" x14ac:dyDescent="0.2">
      <c r="B28" s="186" t="s">
        <v>723</v>
      </c>
      <c r="C28" s="179">
        <f>SUM(C10:C27)</f>
        <v>61737721.219999999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997165</v>
      </c>
    </row>
    <row r="30" spans="1:4" x14ac:dyDescent="0.2">
      <c r="B30" s="186" t="s">
        <v>729</v>
      </c>
      <c r="C30" s="179">
        <f>SUM(C28:C29)</f>
        <v>62734886.219999999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1070000</v>
      </c>
    </row>
    <row r="34" spans="1:4" x14ac:dyDescent="0.2">
      <c r="A34" s="186" t="s">
        <v>94</v>
      </c>
      <c r="B34" s="187" t="s">
        <v>898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44221972</v>
      </c>
      <c r="D35" s="181">
        <f t="shared" ref="D35:D40" si="1">ROUND((C35/$C$41)*100,1)</f>
        <v>67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1753838.9799999967</v>
      </c>
      <c r="D36" s="181">
        <f t="shared" si="1"/>
        <v>2.7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16093505</v>
      </c>
      <c r="D37" s="181">
        <f t="shared" si="1"/>
        <v>24.4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1449499</v>
      </c>
      <c r="D38" s="181">
        <f t="shared" si="1"/>
        <v>2.2000000000000002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2531853</v>
      </c>
      <c r="D39" s="181">
        <f t="shared" si="1"/>
        <v>3.8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66050667.979999997</v>
      </c>
      <c r="D41" s="183">
        <f>SUM(D35:D40)</f>
        <v>100.1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2"/>
      <c r="K1" s="212"/>
      <c r="L1" s="212"/>
      <c r="M1" s="213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Merrimack</v>
      </c>
      <c r="G2" s="293"/>
      <c r="H2" s="293"/>
      <c r="I2" s="293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7"/>
      <c r="B4" s="218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7"/>
      <c r="B5" s="218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7"/>
      <c r="B6" s="218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7"/>
      <c r="B7" s="218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7"/>
      <c r="B8" s="218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7"/>
      <c r="B9" s="218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7"/>
      <c r="B10" s="218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7"/>
      <c r="B11" s="218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7"/>
      <c r="B12" s="218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7"/>
      <c r="B13" s="218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7"/>
      <c r="B14" s="218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7"/>
      <c r="B15" s="218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7"/>
      <c r="B16" s="218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7"/>
      <c r="B17" s="218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7"/>
      <c r="B18" s="218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7"/>
      <c r="B19" s="218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7"/>
      <c r="B20" s="218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7"/>
      <c r="B21" s="218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7"/>
      <c r="B22" s="218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7"/>
      <c r="B23" s="218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7"/>
      <c r="B24" s="218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7"/>
      <c r="B25" s="218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7"/>
      <c r="B26" s="218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7"/>
      <c r="B27" s="218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7"/>
      <c r="B28" s="218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7"/>
      <c r="B29" s="218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0"/>
      <c r="O29" s="210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6"/>
      <c r="AB29" s="206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6"/>
      <c r="AO29" s="206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6"/>
      <c r="BB29" s="206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6"/>
      <c r="BO29" s="206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6"/>
      <c r="CB29" s="206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6"/>
      <c r="CO29" s="206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6"/>
      <c r="DB29" s="206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6"/>
      <c r="DO29" s="206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6"/>
      <c r="EB29" s="206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6"/>
      <c r="EO29" s="206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6"/>
      <c r="FB29" s="206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6"/>
      <c r="FO29" s="206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6"/>
      <c r="GB29" s="206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6"/>
      <c r="GO29" s="206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6"/>
      <c r="HB29" s="206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6"/>
      <c r="HO29" s="206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6"/>
      <c r="IB29" s="206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6"/>
      <c r="IO29" s="206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7"/>
      <c r="B30" s="218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0"/>
      <c r="O30" s="210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6"/>
      <c r="AB30" s="206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6"/>
      <c r="AO30" s="206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6"/>
      <c r="BB30" s="206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6"/>
      <c r="BO30" s="206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6"/>
      <c r="CB30" s="206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6"/>
      <c r="CO30" s="206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6"/>
      <c r="DB30" s="206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6"/>
      <c r="DO30" s="206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6"/>
      <c r="EB30" s="206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6"/>
      <c r="EO30" s="206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6"/>
      <c r="FB30" s="206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6"/>
      <c r="FO30" s="206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6"/>
      <c r="GB30" s="206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6"/>
      <c r="GO30" s="206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6"/>
      <c r="HB30" s="206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6"/>
      <c r="HO30" s="206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6"/>
      <c r="IB30" s="206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6"/>
      <c r="IO30" s="206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7"/>
      <c r="B31" s="218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0"/>
      <c r="O31" s="210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6"/>
      <c r="AB31" s="206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6"/>
      <c r="AO31" s="206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6"/>
      <c r="BB31" s="206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6"/>
      <c r="BO31" s="206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6"/>
      <c r="CB31" s="206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6"/>
      <c r="CO31" s="206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6"/>
      <c r="DB31" s="206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6"/>
      <c r="DO31" s="206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6"/>
      <c r="EB31" s="206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6"/>
      <c r="EO31" s="206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6"/>
      <c r="FB31" s="206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6"/>
      <c r="FO31" s="206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6"/>
      <c r="GB31" s="206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6"/>
      <c r="GO31" s="206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6"/>
      <c r="HB31" s="206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6"/>
      <c r="HO31" s="206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6"/>
      <c r="IB31" s="206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6"/>
      <c r="IO31" s="206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7"/>
      <c r="B32" s="218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2"/>
      <c r="O32" s="222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7"/>
      <c r="AB32" s="218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7"/>
      <c r="AO32" s="218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7"/>
      <c r="BB32" s="218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7"/>
      <c r="BO32" s="218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7"/>
      <c r="CB32" s="218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7"/>
      <c r="CO32" s="218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7"/>
      <c r="DB32" s="218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7"/>
      <c r="DO32" s="218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7"/>
      <c r="EB32" s="218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7"/>
      <c r="EO32" s="218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7"/>
      <c r="FB32" s="218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7"/>
      <c r="FO32" s="218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7"/>
      <c r="GB32" s="218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7"/>
      <c r="GO32" s="218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7"/>
      <c r="HB32" s="218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7"/>
      <c r="HO32" s="218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7"/>
      <c r="IB32" s="218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7"/>
      <c r="IO32" s="218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7"/>
      <c r="B33" s="218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0"/>
      <c r="O38" s="210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6"/>
      <c r="AB38" s="206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6"/>
      <c r="AO38" s="206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6"/>
      <c r="BB38" s="206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6"/>
      <c r="BO38" s="206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6"/>
      <c r="CB38" s="206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6"/>
      <c r="CO38" s="206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6"/>
      <c r="DB38" s="206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6"/>
      <c r="DO38" s="206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6"/>
      <c r="EB38" s="206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6"/>
      <c r="EO38" s="206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6"/>
      <c r="FB38" s="206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6"/>
      <c r="FO38" s="206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6"/>
      <c r="GB38" s="206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6"/>
      <c r="GO38" s="206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6"/>
      <c r="HB38" s="206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6"/>
      <c r="HO38" s="206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6"/>
      <c r="IB38" s="206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6"/>
      <c r="IO38" s="206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7"/>
      <c r="B39" s="218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0"/>
      <c r="O39" s="210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6"/>
      <c r="AB39" s="206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6"/>
      <c r="AO39" s="206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6"/>
      <c r="BB39" s="206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6"/>
      <c r="BO39" s="206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6"/>
      <c r="CB39" s="206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6"/>
      <c r="CO39" s="206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6"/>
      <c r="DB39" s="206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6"/>
      <c r="DO39" s="206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6"/>
      <c r="EB39" s="206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6"/>
      <c r="EO39" s="206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6"/>
      <c r="FB39" s="206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6"/>
      <c r="FO39" s="206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6"/>
      <c r="GB39" s="206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6"/>
      <c r="GO39" s="206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6"/>
      <c r="HB39" s="206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6"/>
      <c r="HO39" s="206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6"/>
      <c r="IB39" s="206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6"/>
      <c r="IO39" s="206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7"/>
      <c r="B40" s="218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0"/>
      <c r="O40" s="210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6"/>
      <c r="AB40" s="206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6"/>
      <c r="AO40" s="206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6"/>
      <c r="BB40" s="206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6"/>
      <c r="BO40" s="206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6"/>
      <c r="CB40" s="206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6"/>
      <c r="CO40" s="206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6"/>
      <c r="DB40" s="206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6"/>
      <c r="DO40" s="206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6"/>
      <c r="EB40" s="206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6"/>
      <c r="EO40" s="206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6"/>
      <c r="FB40" s="206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6"/>
      <c r="FO40" s="206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6"/>
      <c r="GB40" s="206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6"/>
      <c r="GO40" s="206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6"/>
      <c r="HB40" s="206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6"/>
      <c r="HO40" s="206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6"/>
      <c r="IB40" s="206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6"/>
      <c r="IO40" s="206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7"/>
      <c r="B41" s="218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7"/>
      <c r="B51" s="218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7"/>
      <c r="B52" s="218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7"/>
      <c r="B53" s="218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7"/>
      <c r="B54" s="218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7"/>
      <c r="B55" s="218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7"/>
      <c r="B56" s="218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7"/>
      <c r="B57" s="218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7"/>
      <c r="B58" s="218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7"/>
      <c r="B59" s="218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7"/>
      <c r="B60" s="218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7"/>
      <c r="B61" s="218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7"/>
      <c r="B62" s="218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7"/>
      <c r="B63" s="218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7"/>
      <c r="B64" s="218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7"/>
      <c r="B65" s="218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7"/>
      <c r="B66" s="218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7"/>
      <c r="B67" s="218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7"/>
      <c r="B68" s="218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7"/>
      <c r="B69" s="218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19"/>
      <c r="B70" s="220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9" t="s">
        <v>848</v>
      </c>
      <c r="B72" s="299"/>
      <c r="C72" s="299"/>
      <c r="D72" s="299"/>
      <c r="E72" s="299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9" t="s">
        <v>768</v>
      </c>
      <c r="B73" s="209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0"/>
      <c r="B74" s="210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0"/>
      <c r="B75" s="210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0"/>
      <c r="B76" s="210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0"/>
      <c r="B77" s="210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0"/>
      <c r="B78" s="210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0"/>
      <c r="B79" s="210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0"/>
      <c r="B80" s="210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0"/>
      <c r="B81" s="210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0"/>
      <c r="B82" s="210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0"/>
      <c r="B83" s="210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0"/>
      <c r="B84" s="210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0"/>
      <c r="B85" s="210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0"/>
      <c r="B86" s="210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0"/>
      <c r="B87" s="210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0"/>
      <c r="B88" s="210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0"/>
      <c r="B89" s="210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0"/>
      <c r="B90" s="210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A70A" sheet="1" objects="1" scenarios="1"/>
  <mergeCells count="223">
    <mergeCell ref="C78:M78"/>
    <mergeCell ref="C79:M79"/>
    <mergeCell ref="C80:M80"/>
    <mergeCell ref="C81:M81"/>
    <mergeCell ref="C67:M67"/>
    <mergeCell ref="C68:M68"/>
    <mergeCell ref="C69:M69"/>
    <mergeCell ref="C77:M77"/>
    <mergeCell ref="C53:M53"/>
    <mergeCell ref="C54:M54"/>
    <mergeCell ref="C55:M55"/>
    <mergeCell ref="C76:M76"/>
    <mergeCell ref="C66:M66"/>
    <mergeCell ref="C70:M70"/>
    <mergeCell ref="A72:E72"/>
    <mergeCell ref="C73:M73"/>
    <mergeCell ref="C74:M74"/>
    <mergeCell ref="C75:M75"/>
    <mergeCell ref="C90:M90"/>
    <mergeCell ref="C83:M83"/>
    <mergeCell ref="C84:M84"/>
    <mergeCell ref="C85:M85"/>
    <mergeCell ref="C86:M86"/>
    <mergeCell ref="C82:M82"/>
    <mergeCell ref="C87:M87"/>
    <mergeCell ref="C88:M88"/>
    <mergeCell ref="C89:M89"/>
    <mergeCell ref="C32:M32"/>
    <mergeCell ref="C30:M30"/>
    <mergeCell ref="C31:M3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39:M39"/>
    <mergeCell ref="C40:M40"/>
    <mergeCell ref="C51:M51"/>
    <mergeCell ref="C34:M34"/>
    <mergeCell ref="C35:M35"/>
    <mergeCell ref="C36:M36"/>
    <mergeCell ref="C13:M13"/>
    <mergeCell ref="C9:M9"/>
    <mergeCell ref="C12:M12"/>
    <mergeCell ref="CC30:CM30"/>
    <mergeCell ref="BC30:BM30"/>
    <mergeCell ref="BP30:BZ30"/>
    <mergeCell ref="BC29:BM29"/>
    <mergeCell ref="BP29:BZ29"/>
    <mergeCell ref="CC29:CM29"/>
    <mergeCell ref="P29:Z29"/>
    <mergeCell ref="AC29:AM29"/>
    <mergeCell ref="C15:M15"/>
    <mergeCell ref="C16:M16"/>
    <mergeCell ref="C17:M17"/>
    <mergeCell ref="C18:M18"/>
    <mergeCell ref="C21:M21"/>
    <mergeCell ref="C22:M22"/>
    <mergeCell ref="C23:M23"/>
    <mergeCell ref="C24:M24"/>
    <mergeCell ref="C25:M25"/>
    <mergeCell ref="C26:M26"/>
    <mergeCell ref="C27:M27"/>
    <mergeCell ref="AP29:AZ29"/>
    <mergeCell ref="C28:M28"/>
    <mergeCell ref="A1:I1"/>
    <mergeCell ref="C3:M3"/>
    <mergeCell ref="C4:M4"/>
    <mergeCell ref="F2:I2"/>
    <mergeCell ref="C10:M10"/>
    <mergeCell ref="C11:M11"/>
    <mergeCell ref="A2:E2"/>
    <mergeCell ref="C5:M5"/>
    <mergeCell ref="C6:M6"/>
    <mergeCell ref="C7:M7"/>
    <mergeCell ref="C8:M8"/>
    <mergeCell ref="P30:Z30"/>
    <mergeCell ref="AC30:AM30"/>
    <mergeCell ref="AP30:AZ30"/>
    <mergeCell ref="C41:M41"/>
    <mergeCell ref="C33:M33"/>
    <mergeCell ref="C37:M37"/>
    <mergeCell ref="GC30:GM30"/>
    <mergeCell ref="C14:M14"/>
    <mergeCell ref="IC31:IM31"/>
    <mergeCell ref="CP30:CZ30"/>
    <mergeCell ref="EC29:EM29"/>
    <mergeCell ref="EP29:EZ29"/>
    <mergeCell ref="FC29:FM29"/>
    <mergeCell ref="CP29:CZ29"/>
    <mergeCell ref="DP29:DZ29"/>
    <mergeCell ref="C19:M19"/>
    <mergeCell ref="C20:M20"/>
    <mergeCell ref="P31:Z31"/>
    <mergeCell ref="AC31:AM31"/>
    <mergeCell ref="AP31:AZ31"/>
    <mergeCell ref="P32:Z32"/>
    <mergeCell ref="AC32:AM32"/>
    <mergeCell ref="C38:M38"/>
    <mergeCell ref="C29:M29"/>
    <mergeCell ref="AP32:AZ32"/>
    <mergeCell ref="IC30:IM30"/>
    <mergeCell ref="IP30:IV30"/>
    <mergeCell ref="HP31:HZ31"/>
    <mergeCell ref="HP30:HZ30"/>
    <mergeCell ref="BP38:BZ38"/>
    <mergeCell ref="CC38:CM38"/>
    <mergeCell ref="HP29:HZ29"/>
    <mergeCell ref="IC29:IM29"/>
    <mergeCell ref="FP29:FZ29"/>
    <mergeCell ref="GC29:GM29"/>
    <mergeCell ref="GP29:GZ29"/>
    <mergeCell ref="HC29:HM29"/>
    <mergeCell ref="GC32:GM32"/>
    <mergeCell ref="DC38:DM38"/>
    <mergeCell ref="DP38:DZ38"/>
    <mergeCell ref="EC38:EM38"/>
    <mergeCell ref="DC32:DM32"/>
    <mergeCell ref="DP32:DZ32"/>
    <mergeCell ref="FP32:FZ32"/>
    <mergeCell ref="GP32:GZ32"/>
    <mergeCell ref="DC29:DM29"/>
    <mergeCell ref="IP29:IV29"/>
    <mergeCell ref="IP31:IV31"/>
    <mergeCell ref="BP32:BZ32"/>
    <mergeCell ref="EC31:EM31"/>
    <mergeCell ref="EP31:EZ31"/>
    <mergeCell ref="CP32:CZ32"/>
    <mergeCell ref="CC32:CM32"/>
    <mergeCell ref="DC31:DM31"/>
    <mergeCell ref="DP31:DZ31"/>
    <mergeCell ref="BC31:BM31"/>
    <mergeCell ref="BC32:BM32"/>
    <mergeCell ref="BP31:BZ31"/>
    <mergeCell ref="CC31:CM31"/>
    <mergeCell ref="CP31:CZ31"/>
    <mergeCell ref="EC30:EM30"/>
    <mergeCell ref="EP30:EZ30"/>
    <mergeCell ref="DC30:DM30"/>
    <mergeCell ref="DP30:DZ30"/>
    <mergeCell ref="FC31:FM31"/>
    <mergeCell ref="FP31:FZ31"/>
    <mergeCell ref="HC31:HM31"/>
    <mergeCell ref="HC30:HM30"/>
    <mergeCell ref="EC32:EM32"/>
    <mergeCell ref="EP32:EZ32"/>
    <mergeCell ref="FC32:FM32"/>
    <mergeCell ref="FC30:FM30"/>
    <mergeCell ref="FP30:FZ30"/>
    <mergeCell ref="GC31:GM31"/>
    <mergeCell ref="GP31:GZ31"/>
    <mergeCell ref="GP30:GZ30"/>
    <mergeCell ref="IC32:IM32"/>
    <mergeCell ref="IP32:IV32"/>
    <mergeCell ref="EP38:EZ38"/>
    <mergeCell ref="FC38:FM38"/>
    <mergeCell ref="FP38:FZ38"/>
    <mergeCell ref="GC38:GM38"/>
    <mergeCell ref="HC38:HM38"/>
    <mergeCell ref="HC32:HM32"/>
    <mergeCell ref="HP32:HZ32"/>
    <mergeCell ref="IP39:IV39"/>
    <mergeCell ref="EP39:EZ39"/>
    <mergeCell ref="FC39:FM39"/>
    <mergeCell ref="HP38:HZ38"/>
    <mergeCell ref="IC38:IM38"/>
    <mergeCell ref="IP38:IV38"/>
    <mergeCell ref="HP39:HZ39"/>
    <mergeCell ref="IC39:IM39"/>
    <mergeCell ref="HC39:HM39"/>
    <mergeCell ref="GP38:GZ38"/>
    <mergeCell ref="GC39:GM39"/>
    <mergeCell ref="CP38:CZ38"/>
    <mergeCell ref="BC38:BM38"/>
    <mergeCell ref="P39:Z39"/>
    <mergeCell ref="AC39:AM39"/>
    <mergeCell ref="AP39:AZ39"/>
    <mergeCell ref="P38:Z38"/>
    <mergeCell ref="AC38:AM38"/>
    <mergeCell ref="AP38:AZ38"/>
    <mergeCell ref="BP39:BZ39"/>
    <mergeCell ref="CC39:CM39"/>
    <mergeCell ref="BC39:BM39"/>
    <mergeCell ref="CP39:CZ39"/>
    <mergeCell ref="C46:M46"/>
    <mergeCell ref="GC40:GM40"/>
    <mergeCell ref="GP40:GZ40"/>
    <mergeCell ref="FP39:FZ39"/>
    <mergeCell ref="GP39:GZ39"/>
    <mergeCell ref="CC40:CM40"/>
    <mergeCell ref="CP40:CZ40"/>
    <mergeCell ref="DC40:DM40"/>
    <mergeCell ref="EP40:EZ40"/>
    <mergeCell ref="DC39:DM39"/>
    <mergeCell ref="DP39:DZ39"/>
    <mergeCell ref="EC39:EM39"/>
    <mergeCell ref="C42:M42"/>
    <mergeCell ref="IP40:IV40"/>
    <mergeCell ref="C45:M45"/>
    <mergeCell ref="IC40:IM40"/>
    <mergeCell ref="BP40:BZ40"/>
    <mergeCell ref="FC40:FM40"/>
    <mergeCell ref="FP40:FZ40"/>
    <mergeCell ref="HC40:HM40"/>
    <mergeCell ref="HP40:HZ40"/>
    <mergeCell ref="EC40:EM40"/>
    <mergeCell ref="C44:M44"/>
    <mergeCell ref="DP40:DZ40"/>
    <mergeCell ref="C43:M43"/>
    <mergeCell ref="BC40:BM40"/>
    <mergeCell ref="P40:Z40"/>
    <mergeCell ref="AC40:AM40"/>
    <mergeCell ref="AP40:A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2014-10-02T12:13:11Z</cp:lastPrinted>
  <dcterms:created xsi:type="dcterms:W3CDTF">1997-12-04T19:04:30Z</dcterms:created>
  <dcterms:modified xsi:type="dcterms:W3CDTF">2014-12-05T16:33:43Z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