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G22" i="1"/>
  <c r="H367" i="1"/>
  <c r="I360" i="1"/>
  <c r="H533" i="1" l="1"/>
  <c r="H532" i="1"/>
  <c r="H531" i="1"/>
  <c r="F533" i="1"/>
  <c r="F532" i="1"/>
  <c r="F531" i="1"/>
  <c r="I531" i="1"/>
  <c r="F527" i="1"/>
  <c r="F526" i="1"/>
  <c r="H528" i="1"/>
  <c r="H527" i="1"/>
  <c r="H526" i="1"/>
  <c r="J522" i="1"/>
  <c r="I523" i="1"/>
  <c r="I522" i="1"/>
  <c r="I521" i="1"/>
  <c r="H523" i="1"/>
  <c r="H522" i="1"/>
  <c r="H521" i="1"/>
  <c r="F523" i="1"/>
  <c r="F522" i="1"/>
  <c r="F521" i="1"/>
  <c r="H579" i="1" l="1"/>
  <c r="G579" i="1"/>
  <c r="F579" i="1"/>
  <c r="F582" i="1"/>
  <c r="I564" i="1" l="1"/>
  <c r="I563" i="1"/>
  <c r="I562" i="1"/>
  <c r="H564" i="1"/>
  <c r="H563" i="1"/>
  <c r="H562" i="1"/>
  <c r="G564" i="1"/>
  <c r="G563" i="1"/>
  <c r="G562" i="1"/>
  <c r="F564" i="1"/>
  <c r="F563" i="1"/>
  <c r="F562" i="1"/>
  <c r="H255" i="1"/>
  <c r="F442" i="1" l="1"/>
  <c r="H389" i="1"/>
  <c r="H397" i="1"/>
  <c r="J96" i="1"/>
  <c r="J604" i="1"/>
  <c r="H604" i="1"/>
  <c r="I604" i="1"/>
  <c r="J597" i="1" l="1"/>
  <c r="I597" i="1"/>
  <c r="H597" i="1"/>
  <c r="J595" i="1"/>
  <c r="I595" i="1"/>
  <c r="H595" i="1"/>
  <c r="J593" i="1"/>
  <c r="J591" i="1"/>
  <c r="I591" i="1"/>
  <c r="H591" i="1"/>
  <c r="H14" i="1" l="1"/>
  <c r="H12" i="1"/>
  <c r="H161" i="1" l="1"/>
  <c r="G97" i="1"/>
  <c r="F96" i="1"/>
  <c r="F57" i="1"/>
  <c r="H28" i="1"/>
  <c r="H24" i="1"/>
  <c r="H13" i="1"/>
  <c r="H22" i="1"/>
  <c r="G28" i="1"/>
  <c r="J472" i="1"/>
  <c r="I472" i="1"/>
  <c r="H472" i="1"/>
  <c r="F29" i="1" l="1"/>
  <c r="F28" i="1"/>
  <c r="F14" i="1"/>
  <c r="F10" i="1"/>
  <c r="J320" i="1"/>
  <c r="J301" i="1"/>
  <c r="J282" i="1"/>
  <c r="I320" i="1"/>
  <c r="I301" i="1"/>
  <c r="I282" i="1"/>
  <c r="H320" i="1"/>
  <c r="H301" i="1"/>
  <c r="H282" i="1"/>
  <c r="H314" i="1"/>
  <c r="H295" i="1"/>
  <c r="H276" i="1"/>
  <c r="I335" i="1"/>
  <c r="F296" i="1"/>
  <c r="F277" i="1"/>
  <c r="I315" i="1"/>
  <c r="I296" i="1"/>
  <c r="I277" i="1"/>
  <c r="H277" i="1"/>
  <c r="F276" i="1"/>
  <c r="H368" i="1"/>
  <c r="G368" i="1"/>
  <c r="G367" i="1"/>
  <c r="F367" i="1"/>
  <c r="F368" i="1"/>
  <c r="H360" i="1"/>
  <c r="H359" i="1"/>
  <c r="H358" i="1"/>
  <c r="F360" i="1"/>
  <c r="F359" i="1"/>
  <c r="F358" i="1"/>
  <c r="F234" i="1" l="1"/>
  <c r="F233" i="1"/>
  <c r="F216" i="1"/>
  <c r="F215" i="1"/>
  <c r="F198" i="1"/>
  <c r="F197" i="1"/>
  <c r="F208" i="1"/>
  <c r="F226" i="1"/>
  <c r="F244" i="1"/>
  <c r="I207" i="1"/>
  <c r="I225" i="1"/>
  <c r="I243" i="1"/>
  <c r="H207" i="1"/>
  <c r="H225" i="1"/>
  <c r="H243" i="1"/>
  <c r="F207" i="1"/>
  <c r="F225" i="1"/>
  <c r="F243" i="1"/>
  <c r="I205" i="1"/>
  <c r="I223" i="1"/>
  <c r="J221" i="1"/>
  <c r="J239" i="1"/>
  <c r="I203" i="1"/>
  <c r="I221" i="1"/>
  <c r="I239" i="1"/>
  <c r="H203" i="1"/>
  <c r="F203" i="1"/>
  <c r="F221" i="1"/>
  <c r="F239" i="1"/>
  <c r="K220" i="1"/>
  <c r="J220" i="1"/>
  <c r="I202" i="1"/>
  <c r="I220" i="1"/>
  <c r="I238" i="1"/>
  <c r="H202" i="1"/>
  <c r="H220" i="1"/>
  <c r="H238" i="1"/>
  <c r="F238" i="1"/>
  <c r="F220" i="1"/>
  <c r="F202" i="1"/>
  <c r="K236" i="1"/>
  <c r="J216" i="1"/>
  <c r="I198" i="1"/>
  <c r="I216" i="1"/>
  <c r="I234" i="1"/>
  <c r="H234" i="1"/>
  <c r="H216" i="1"/>
  <c r="H198" i="1"/>
  <c r="G198" i="1"/>
  <c r="G216" i="1"/>
  <c r="G234" i="1"/>
  <c r="I233" i="1"/>
  <c r="I215" i="1"/>
  <c r="I197" i="1"/>
  <c r="C45" i="2" l="1"/>
  <c r="C37" i="10" l="1"/>
  <c r="F40" i="2" l="1"/>
  <c r="D39" i="2"/>
  <c r="G655" i="1"/>
  <c r="F48" i="2"/>
  <c r="E48" i="2"/>
  <c r="D48" i="2"/>
  <c r="C48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E111" i="2" s="1"/>
  <c r="L298" i="1"/>
  <c r="L300" i="1"/>
  <c r="E118" i="2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5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G32" i="1"/>
  <c r="H32" i="1"/>
  <c r="I32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F408" i="1" s="1"/>
  <c r="H643" i="1" s="1"/>
  <c r="J643" i="1" s="1"/>
  <c r="G393" i="1"/>
  <c r="G408" i="1" s="1"/>
  <c r="H645" i="1" s="1"/>
  <c r="J645" i="1" s="1"/>
  <c r="H393" i="1"/>
  <c r="H408" i="1" s="1"/>
  <c r="H644" i="1" s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H633" i="1"/>
  <c r="H636" i="1"/>
  <c r="H638" i="1"/>
  <c r="G641" i="1"/>
  <c r="J641" i="1" s="1"/>
  <c r="G643" i="1"/>
  <c r="G644" i="1"/>
  <c r="G645" i="1"/>
  <c r="G650" i="1"/>
  <c r="G651" i="1"/>
  <c r="G652" i="1"/>
  <c r="H652" i="1"/>
  <c r="G653" i="1"/>
  <c r="H653" i="1"/>
  <c r="G654" i="1"/>
  <c r="H654" i="1"/>
  <c r="H655" i="1"/>
  <c r="A31" i="12"/>
  <c r="D91" i="2"/>
  <c r="D19" i="13"/>
  <c r="C19" i="13" s="1"/>
  <c r="I169" i="1"/>
  <c r="J140" i="1"/>
  <c r="I552" i="1"/>
  <c r="H140" i="1"/>
  <c r="H192" i="1"/>
  <c r="J655" i="1"/>
  <c r="L570" i="1"/>
  <c r="L539" i="1" l="1"/>
  <c r="J545" i="1"/>
  <c r="I545" i="1"/>
  <c r="G545" i="1"/>
  <c r="I571" i="1"/>
  <c r="H571" i="1"/>
  <c r="L565" i="1"/>
  <c r="L571" i="1" s="1"/>
  <c r="J552" i="1"/>
  <c r="K545" i="1"/>
  <c r="H552" i="1"/>
  <c r="K550" i="1"/>
  <c r="L534" i="1"/>
  <c r="H545" i="1"/>
  <c r="G552" i="1"/>
  <c r="K549" i="1"/>
  <c r="K551" i="1"/>
  <c r="L524" i="1"/>
  <c r="F552" i="1"/>
  <c r="F22" i="13"/>
  <c r="C22" i="13" s="1"/>
  <c r="L401" i="1"/>
  <c r="C139" i="2" s="1"/>
  <c r="K598" i="1"/>
  <c r="G647" i="1" s="1"/>
  <c r="J647" i="1" s="1"/>
  <c r="F112" i="1"/>
  <c r="J640" i="1"/>
  <c r="J644" i="1"/>
  <c r="L393" i="1"/>
  <c r="C138" i="2" s="1"/>
  <c r="I460" i="1"/>
  <c r="J639" i="1"/>
  <c r="I446" i="1"/>
  <c r="G642" i="1" s="1"/>
  <c r="F18" i="2"/>
  <c r="E31" i="2"/>
  <c r="D31" i="2"/>
  <c r="D18" i="2"/>
  <c r="C18" i="2"/>
  <c r="E120" i="2"/>
  <c r="C29" i="10"/>
  <c r="H662" i="1"/>
  <c r="G662" i="1"/>
  <c r="E122" i="2"/>
  <c r="E121" i="2"/>
  <c r="E119" i="2"/>
  <c r="L328" i="1"/>
  <c r="E110" i="2"/>
  <c r="G338" i="1"/>
  <c r="G352" i="1" s="1"/>
  <c r="E109" i="2"/>
  <c r="F338" i="1"/>
  <c r="F352" i="1" s="1"/>
  <c r="L309" i="1"/>
  <c r="E114" i="2"/>
  <c r="H338" i="1"/>
  <c r="H352" i="1" s="1"/>
  <c r="J634" i="1"/>
  <c r="D29" i="13"/>
  <c r="C29" i="13" s="1"/>
  <c r="L362" i="1"/>
  <c r="H661" i="1"/>
  <c r="G661" i="1"/>
  <c r="C132" i="2"/>
  <c r="L270" i="1"/>
  <c r="L256" i="1"/>
  <c r="J651" i="1"/>
  <c r="C20" i="10"/>
  <c r="D14" i="13"/>
  <c r="C14" i="13" s="1"/>
  <c r="C123" i="2"/>
  <c r="C19" i="10"/>
  <c r="E13" i="13"/>
  <c r="C13" i="13" s="1"/>
  <c r="C18" i="10"/>
  <c r="C17" i="10"/>
  <c r="I257" i="1"/>
  <c r="I271" i="1" s="1"/>
  <c r="C119" i="2"/>
  <c r="C16" i="10"/>
  <c r="J257" i="1"/>
  <c r="J271" i="1" s="1"/>
  <c r="C118" i="2"/>
  <c r="D6" i="13"/>
  <c r="C6" i="13" s="1"/>
  <c r="C13" i="10"/>
  <c r="C112" i="2"/>
  <c r="K257" i="1"/>
  <c r="K271" i="1" s="1"/>
  <c r="A40" i="12"/>
  <c r="C111" i="2"/>
  <c r="H257" i="1"/>
  <c r="H271" i="1" s="1"/>
  <c r="C11" i="10"/>
  <c r="L247" i="1"/>
  <c r="F257" i="1"/>
  <c r="F271" i="1" s="1"/>
  <c r="C110" i="2"/>
  <c r="C10" i="10"/>
  <c r="G257" i="1"/>
  <c r="G271" i="1" s="1"/>
  <c r="L229" i="1"/>
  <c r="C109" i="2"/>
  <c r="L211" i="1"/>
  <c r="D5" i="13"/>
  <c r="C5" i="13" s="1"/>
  <c r="A13" i="12"/>
  <c r="C16" i="13"/>
  <c r="C81" i="2"/>
  <c r="L290" i="1"/>
  <c r="K503" i="1"/>
  <c r="C15" i="10"/>
  <c r="F662" i="1"/>
  <c r="E112" i="2"/>
  <c r="C12" i="10"/>
  <c r="H112" i="1"/>
  <c r="H193" i="1" s="1"/>
  <c r="C121" i="2"/>
  <c r="E8" i="13"/>
  <c r="C8" i="13" s="1"/>
  <c r="D12" i="13"/>
  <c r="C12" i="13" s="1"/>
  <c r="K338" i="1"/>
  <c r="K352" i="1" s="1"/>
  <c r="C32" i="10"/>
  <c r="F661" i="1"/>
  <c r="G112" i="1"/>
  <c r="D15" i="13"/>
  <c r="C15" i="13" s="1"/>
  <c r="L544" i="1"/>
  <c r="D127" i="2"/>
  <c r="D128" i="2" s="1"/>
  <c r="D145" i="2" s="1"/>
  <c r="C57" i="2"/>
  <c r="C62" i="2" s="1"/>
  <c r="C63" i="2" s="1"/>
  <c r="L614" i="1"/>
  <c r="I452" i="1"/>
  <c r="I461" i="1" s="1"/>
  <c r="H642" i="1" s="1"/>
  <c r="C35" i="10"/>
  <c r="G649" i="1"/>
  <c r="J649" i="1" s="1"/>
  <c r="J338" i="1"/>
  <c r="J352" i="1" s="1"/>
  <c r="C124" i="2"/>
  <c r="C120" i="2"/>
  <c r="L382" i="1"/>
  <c r="G636" i="1" s="1"/>
  <c r="J636" i="1" s="1"/>
  <c r="H25" i="13"/>
  <c r="C21" i="10"/>
  <c r="K500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31" i="2"/>
  <c r="C31" i="2"/>
  <c r="E18" i="2"/>
  <c r="E144" i="2"/>
  <c r="C24" i="10"/>
  <c r="G31" i="13"/>
  <c r="G33" i="13" s="1"/>
  <c r="I338" i="1"/>
  <c r="I352" i="1" s="1"/>
  <c r="J650" i="1"/>
  <c r="L407" i="1"/>
  <c r="C140" i="2" s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169" i="1"/>
  <c r="C39" i="10" s="1"/>
  <c r="G140" i="1"/>
  <c r="F140" i="1"/>
  <c r="G63" i="2"/>
  <c r="G104" i="2" s="1"/>
  <c r="G42" i="2"/>
  <c r="J51" i="1"/>
  <c r="G16" i="2"/>
  <c r="G18" i="2" s="1"/>
  <c r="J19" i="1"/>
  <c r="G621" i="1" s="1"/>
  <c r="F545" i="1"/>
  <c r="H434" i="1"/>
  <c r="D103" i="2"/>
  <c r="D104" i="2" s="1"/>
  <c r="I140" i="1"/>
  <c r="I193" i="1" s="1"/>
  <c r="A22" i="12"/>
  <c r="G50" i="2"/>
  <c r="J652" i="1"/>
  <c r="G571" i="1"/>
  <c r="I434" i="1"/>
  <c r="G434" i="1"/>
  <c r="I663" i="1"/>
  <c r="C27" i="10" l="1"/>
  <c r="G472" i="1"/>
  <c r="K552" i="1"/>
  <c r="L545" i="1"/>
  <c r="F193" i="1"/>
  <c r="J642" i="1"/>
  <c r="C141" i="2"/>
  <c r="C144" i="2" s="1"/>
  <c r="F104" i="2"/>
  <c r="G630" i="1"/>
  <c r="I468" i="1"/>
  <c r="G629" i="1"/>
  <c r="H468" i="1"/>
  <c r="G627" i="1"/>
  <c r="F468" i="1"/>
  <c r="C36" i="10"/>
  <c r="C104" i="2"/>
  <c r="G646" i="1"/>
  <c r="J468" i="1"/>
  <c r="I662" i="1"/>
  <c r="E128" i="2"/>
  <c r="H660" i="1"/>
  <c r="H664" i="1" s="1"/>
  <c r="H672" i="1" s="1"/>
  <c r="C6" i="10" s="1"/>
  <c r="G660" i="1"/>
  <c r="G664" i="1" s="1"/>
  <c r="G667" i="1" s="1"/>
  <c r="E115" i="2"/>
  <c r="L338" i="1"/>
  <c r="L352" i="1" s="1"/>
  <c r="G633" i="1" s="1"/>
  <c r="J633" i="1" s="1"/>
  <c r="D31" i="13"/>
  <c r="C31" i="13" s="1"/>
  <c r="G635" i="1"/>
  <c r="I661" i="1"/>
  <c r="C128" i="2"/>
  <c r="H648" i="1"/>
  <c r="J648" i="1" s="1"/>
  <c r="F660" i="1"/>
  <c r="C115" i="2"/>
  <c r="L257" i="1"/>
  <c r="L271" i="1" s="1"/>
  <c r="C25" i="13"/>
  <c r="H33" i="13"/>
  <c r="C28" i="10"/>
  <c r="D25" i="10" s="1"/>
  <c r="L408" i="1"/>
  <c r="E33" i="13"/>
  <c r="D35" i="13" s="1"/>
  <c r="G51" i="2"/>
  <c r="G631" i="1"/>
  <c r="G193" i="1"/>
  <c r="G626" i="1"/>
  <c r="J52" i="1"/>
  <c r="H621" i="1" s="1"/>
  <c r="J621" i="1" s="1"/>
  <c r="C38" i="10"/>
  <c r="G474" i="1" l="1"/>
  <c r="H635" i="1"/>
  <c r="J635" i="1" s="1"/>
  <c r="G632" i="1"/>
  <c r="F472" i="1"/>
  <c r="I470" i="1"/>
  <c r="I476" i="1" s="1"/>
  <c r="H630" i="1"/>
  <c r="J630" i="1"/>
  <c r="H629" i="1"/>
  <c r="J629" i="1" s="1"/>
  <c r="H470" i="1"/>
  <c r="H476" i="1" s="1"/>
  <c r="G628" i="1"/>
  <c r="G468" i="1"/>
  <c r="F470" i="1"/>
  <c r="H627" i="1"/>
  <c r="J627" i="1" s="1"/>
  <c r="H637" i="1"/>
  <c r="J470" i="1"/>
  <c r="J476" i="1" s="1"/>
  <c r="H626" i="1" s="1"/>
  <c r="J626" i="1" s="1"/>
  <c r="H631" i="1"/>
  <c r="J631" i="1" s="1"/>
  <c r="E145" i="2"/>
  <c r="I660" i="1"/>
  <c r="I664" i="1" s="1"/>
  <c r="I672" i="1" s="1"/>
  <c r="C7" i="10" s="1"/>
  <c r="D33" i="13"/>
  <c r="D36" i="13" s="1"/>
  <c r="H667" i="1"/>
  <c r="G672" i="1"/>
  <c r="C5" i="10" s="1"/>
  <c r="C145" i="2"/>
  <c r="F664" i="1"/>
  <c r="F672" i="1" s="1"/>
  <c r="C4" i="10" s="1"/>
  <c r="D27" i="10"/>
  <c r="D16" i="10"/>
  <c r="D13" i="10"/>
  <c r="D19" i="10"/>
  <c r="D18" i="10"/>
  <c r="D24" i="10"/>
  <c r="D26" i="10"/>
  <c r="D15" i="10"/>
  <c r="D17" i="10"/>
  <c r="D21" i="10"/>
  <c r="D12" i="10"/>
  <c r="G637" i="1"/>
  <c r="H646" i="1"/>
  <c r="J646" i="1" s="1"/>
  <c r="D11" i="10"/>
  <c r="D22" i="10"/>
  <c r="D10" i="10"/>
  <c r="C30" i="10"/>
  <c r="D23" i="10"/>
  <c r="D20" i="10"/>
  <c r="C41" i="10"/>
  <c r="D38" i="10" s="1"/>
  <c r="F474" i="1" l="1"/>
  <c r="F476" i="1" s="1"/>
  <c r="F50" i="1" s="1"/>
  <c r="H632" i="1"/>
  <c r="J632" i="1" s="1"/>
  <c r="H625" i="1"/>
  <c r="I48" i="1"/>
  <c r="H624" i="1"/>
  <c r="H48" i="1"/>
  <c r="G470" i="1"/>
  <c r="G476" i="1" s="1"/>
  <c r="G48" i="1" s="1"/>
  <c r="H628" i="1"/>
  <c r="J628" i="1" s="1"/>
  <c r="J637" i="1"/>
  <c r="I667" i="1"/>
  <c r="F667" i="1"/>
  <c r="D28" i="10"/>
  <c r="D37" i="10"/>
  <c r="D36" i="10"/>
  <c r="D35" i="10"/>
  <c r="D40" i="10"/>
  <c r="D39" i="10"/>
  <c r="H622" i="1" l="1"/>
  <c r="C49" i="2"/>
  <c r="C50" i="2" s="1"/>
  <c r="C51" i="2" s="1"/>
  <c r="I51" i="1"/>
  <c r="F47" i="2"/>
  <c r="F50" i="2" s="1"/>
  <c r="F51" i="2" s="1"/>
  <c r="H51" i="1"/>
  <c r="E47" i="2"/>
  <c r="E50" i="2" s="1"/>
  <c r="E51" i="2" s="1"/>
  <c r="H623" i="1"/>
  <c r="D41" i="10"/>
  <c r="F51" i="1" l="1"/>
  <c r="G622" i="1" s="1"/>
  <c r="G625" i="1"/>
  <c r="J625" i="1" s="1"/>
  <c r="I52" i="1"/>
  <c r="H620" i="1" s="1"/>
  <c r="J620" i="1" s="1"/>
  <c r="G624" i="1"/>
  <c r="J624" i="1" s="1"/>
  <c r="H52" i="1"/>
  <c r="H619" i="1" s="1"/>
  <c r="J619" i="1" s="1"/>
  <c r="G51" i="1"/>
  <c r="D47" i="2"/>
  <c r="D50" i="2" s="1"/>
  <c r="D51" i="2" s="1"/>
  <c r="F52" i="1" l="1"/>
  <c r="H617" i="1" s="1"/>
  <c r="J617" i="1" s="1"/>
  <c r="G623" i="1"/>
  <c r="J623" i="1" s="1"/>
  <c r="G52" i="1"/>
  <c r="H618" i="1" s="1"/>
  <c r="J618" i="1" s="1"/>
  <c r="J622" i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<sst xmlns="http://schemas.openxmlformats.org/spreadsheetml/2006/main" count="3958" uniqueCount="916">
  <si>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</si>
  <si>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</si>
  <si>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</si>
  <si>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</si>
  <si>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</si>
  <si>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</si>
  <si>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</si>
  <si>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</si>
  <si>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</si>
  <si>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</si>
  <si>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</si>
  <si>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</si>
  <si>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</si>
  <si>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</si>
  <si>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</si>
  <si>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</si>
  <si>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</si>
  <si>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</si>
  <si>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</si>
  <si>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</si>
  <si>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</si>
  <si>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</si>
  <si>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</si>
  <si>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</si>
  <si>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</si>
  <si>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</si>
  <si>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</si>
  <si>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</si>
  <si>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</si>
  <si>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</si>
  <si>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</si>
  <si>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</si>
  <si>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</si>
  <si>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</si>
  <si>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</si>
  <si>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</si>
  <si>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</si>
  <si>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</si>
  <si>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</si>
  <si>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</si>
  <si>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</si>
  <si>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</si>
  <si>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</si>
  <si>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</si>
  <si>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</si>
  <si>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</si>
  <si>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</si>
  <si>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</si>
  <si>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</si>
  <si>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</si>
  <si>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</si>
  <si>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</si>
  <si>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</si>
  <si>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</si>
  <si>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</si>
  <si>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</si>
  <si>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</si>
  <si>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</si>
  <si>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</si>
  <si>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</si>
  <si>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</si>
  <si>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</si>
  <si>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</si>
  <si>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</si>
  <si>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</si>
  <si>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</si>
  <si>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</si>
  <si>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</si>
  <si>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</si>
  <si>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</si>
  <si>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</si>
  <si>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</si>
  <si>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</si>
  <si>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</si>
  <si>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</si>
  <si>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</si>
  <si>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</si>
  <si>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</si>
  <si>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</si>
  <si>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</si>
  <si>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</si>
  <si>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</si>
  <si>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</si>
  <si>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</si>
  <si>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</si>
  <si>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</si>
  <si>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</si>
  <si>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</si>
  <si>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</si>
  <si>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</si>
  <si>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</si>
  <si>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</si>
  <si>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</si>
  <si>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</si>
  <si>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</si>
  <si>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</si>
  <si>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</si>
  <si>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</si>
  <si>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</si>
  <si>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</si>
  <si>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</si>
  <si>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</si>
  <si>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</si>
  <si>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</si>
  <si>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</si>
  <si>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</si>
  <si>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</si>
  <si>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</si>
  <si>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</si>
  <si>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</si>
  <si>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</si>
  <si>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</si>
  <si>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</si>
  <si>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</si>
  <si>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</si>
  <si>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</si>
  <si>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</si>
  <si>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</si>
  <si>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</si>
  <si>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</si>
  <si>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</si>
  <si>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</si>
  <si>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</si>
  <si>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</si>
  <si>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</si>
  <si>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</si>
  <si>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</si>
  <si>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</si>
  <si>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</si>
  <si>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</si>
  <si>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</si>
  <si>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</si>
  <si>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</si>
  <si>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</si>
  <si>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</si>
  <si>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</si>
  <si>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</si>
  <si>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</si>
  <si>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</si>
  <si>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</si>
  <si>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</si>
  <si>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</si>
  <si>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</si>
  <si>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</si>
  <si>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</si>
  <si>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</si>
  <si>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</si>
  <si>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</si>
  <si>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</si>
  <si>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</si>
  <si>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</si>
  <si>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</si>
  <si>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</si>
  <si>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</si>
  <si>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</si>
  <si>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</si>
  <si>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</si>
  <si>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</si>
  <si>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</si>
  <si>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</si>
  <si>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</si>
  <si>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</si>
  <si>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</si>
  <si>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</si>
  <si>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</si>
  <si>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</si>
  <si>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</si>
  <si>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</si>
  <si>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</si>
  <si>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</si>
  <si>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</si>
  <si>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</si>
  <si>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</si>
  <si>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</si>
  <si>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</si>
  <si>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</si>
  <si>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</si>
  <si>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</si>
  <si>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</si>
  <si>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</si>
  <si>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</si>
  <si>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</si>
  <si>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</si>
  <si>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</si>
  <si>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</si>
  <si>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</si>
  <si>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</si>
  <si>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</si>
  <si>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</si>
  <si>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</si>
  <si>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</si>
  <si>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</si>
  <si>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</si>
  <si>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</si>
  <si>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</si>
  <si>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</si>
  <si>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</si>
  <si>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</si>
  <si>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</si>
  <si>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</si>
  <si>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</si>
  <si>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</si>
  <si>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</si>
  <si>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</si>
  <si>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</si>
  <si>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</si>
  <si>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</si>
  <si>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</si>
  <si>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</si>
  <si>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</si>
  <si>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</si>
  <si>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</si>
  <si>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</si>
  <si>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</si>
  <si>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</si>
  <si>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</si>
  <si>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</si>
  <si>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</si>
  <si>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</si>
  <si>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</si>
  <si>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</si>
  <si>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</si>
  <si>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</si>
  <si>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</si>
  <si>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</si>
  <si>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</si>
  <si>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</si>
  <si>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</si>
  <si>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</si>
  <si>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</si>
  <si>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</si>
  <si>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</si>
  <si>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</si>
  <si>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</si>
  <si>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</si>
  <si>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</si>
  <si>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</si>
  <si>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</si>
  <si>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</si>
  <si>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</si>
  <si>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</si>
  <si>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</si>
  <si>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</si>
  <si>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</si>
  <si>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</si>
  <si>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</si>
  <si>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</si>
  <si>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</si>
  <si>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</si>
  <si>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</si>
  <si>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</si>
  <si>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</si>
  <si>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</si>
  <si>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</si>
  <si>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</si>
  <si>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</si>
  <si>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</si>
  <si>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</si>
  <si>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</si>
  <si>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</si>
  <si>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</si>
  <si>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</si>
  <si>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</si>
  <si>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</si>
  <si>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</si>
  <si>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</si>
  <si>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</si>
  <si>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</si>
  <si>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</si>
  <si>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</si>
  <si>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</si>
  <si>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</si>
  <si>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</si>
  <si>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</si>
  <si>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</si>
  <si>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</si>
  <si>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</si>
  <si>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</si>
  <si>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</si>
  <si>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</si>
  <si>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</si>
  <si>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</si>
  <si>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</si>
  <si>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</si>
  <si>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</si>
  <si>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</si>
  <si>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</si>
  <si>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</si>
  <si>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</si>
  <si>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</si>
  <si>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</si>
  <si>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</si>
  <si>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</si>
  <si>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</si>
  <si>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</si>
  <si>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</si>
  <si>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</si>
  <si>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</si>
  <si>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</si>
  <si>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</si>
  <si>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</si>
  <si>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</si>
  <si>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</si>
  <si>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</si>
  <si>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</si>
  <si>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</si>
  <si>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</si>
  <si>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</si>
  <si>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</si>
  <si>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</si>
  <si>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</si>
  <si>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</si>
  <si>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</si>
  <si>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</si>
  <si>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</si>
  <si>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</si>
  <si>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</si>
  <si>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</si>
  <si>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</si>
  <si>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</si>
  <si>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</si>
  <si>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</si>
  <si>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</si>
  <si>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</si>
  <si>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</si>
  <si>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</si>
  <si>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</si>
  <si>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</si>
  <si>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</si>
  <si>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</si>
  <si>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</si>
  <si>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</si>
  <si>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</si>
  <si>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</si>
  <si>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</si>
  <si>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</si>
  <si>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</si>
  <si>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</si>
  <si>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</si>
  <si>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</si>
  <si>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</si>
  <si>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</si>
  <si>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</si>
  <si>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</si>
  <si>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</si>
  <si>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</si>
  <si>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</si>
  <si>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</si>
  <si>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</si>
  <si>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</si>
  <si>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</si>
  <si>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</si>
  <si>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</si>
  <si>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</si>
  <si>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</si>
  <si>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</si>
  <si>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</si>
  <si>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</si>
  <si>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</si>
  <si>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</si>
  <si>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</si>
  <si>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</si>
  <si>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</si>
  <si>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</si>
  <si>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</si>
  <si>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</si>
  <si>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</si>
  <si>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</si>
  <si>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</si>
  <si>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</si>
  <si>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</si>
  <si>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</si>
  <si>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</si>
  <si>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</si>
  <si>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</si>
  <si>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</si>
  <si>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</si>
  <si>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</si>
  <si>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</si>
  <si>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</si>
  <si>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</si>
  <si>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</si>
  <si>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</si>
  <si>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</si>
  <si>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</si>
  <si>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</si>
  <si>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</si>
  <si>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</si>
  <si>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</si>
  <si>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</si>
  <si>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</si>
  <si>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</si>
  <si>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</si>
  <si>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</si>
  <si>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</si>
  <si>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</si>
  <si>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</si>
  <si>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</si>
  <si>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</si>
  <si>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</si>
  <si>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</si>
  <si>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</si>
  <si>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</si>
  <si>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</si>
  <si>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</si>
  <si>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</si>
  <si>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</si>
  <si>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</si>
  <si>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</si>
  <si>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</si>
  <si>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</si>
  <si>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</si>
  <si>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</si>
  <si>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</si>
  <si>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</si>
  <si>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</si>
  <si>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</si>
  <si>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</si>
  <si>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</si>
  <si>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</si>
  <si>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</si>
  <si>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</si>
  <si>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</si>
  <si>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</si>
  <si>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</si>
  <si>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</si>
  <si>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</si>
  <si>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</si>
  <si>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</si>
  <si>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</si>
  <si>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</si>
  <si>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</si>
  <si>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</si>
  <si>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</si>
  <si>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</si>
  <si>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</si>
  <si>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</si>
  <si>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</si>
  <si>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</si>
  <si>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</si>
  <si>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</si>
  <si>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</si>
  <si>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</si>
  <si>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</si>
  <si>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</si>
  <si>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</si>
  <si>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</si>
  <si>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</si>
  <si>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</si>
  <si>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</si>
  <si>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</si>
  <si>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</si>
  <si>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</si>
  <si>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</si>
  <si>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</si>
  <si>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</si>
  <si>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</si>
  <si>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</si>
  <si>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</si>
  <si>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</si>
  <si>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</si>
  <si>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</si>
  <si>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</si>
  <si>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</si>
  <si>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</si>
  <si>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</si>
  <si>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</si>
  <si>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</si>
  <si>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</si>
  <si>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</si>
  <si>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</si>
  <si>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</si>
  <si>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</si>
  <si>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</si>
  <si>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</si>
  <si>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</si>
  <si>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</si>
  <si>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</si>
  <si>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</si>
  <si>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</si>
  <si>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</si>
  <si>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</si>
  <si>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</si>
  <si>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</si>
  <si>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</si>
  <si>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</si>
  <si>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</si>
  <si>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</si>
  <si>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</si>
  <si>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</si>
  <si>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</si>
  <si>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</si>
  <si>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</si>
  <si>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</si>
  <si>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</si>
  <si>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</si>
  <si>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</si>
  <si>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</si>
  <si>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</si>
  <si>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</si>
  <si>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</si>
  <si>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</si>
  <si>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</si>
  <si>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</si>
  <si>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</si>
  <si>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</si>
  <si>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</si>
  <si>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</si>
  <si>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</si>
  <si>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</si>
  <si>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</si>
  <si>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</si>
  <si>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</si>
  <si>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</si>
  <si>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</si>
  <si>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</si>
  <si>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</si>
  <si>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</si>
  <si>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</si>
  <si>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</si>
  <si>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</si>
  <si>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</si>
  <si>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</si>
  <si>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</si>
  <si>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</si>
  <si>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</si>
  <si>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</si>
  <si>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</si>
  <si>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</si>
  <si>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</si>
  <si>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</si>
  <si>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</si>
  <si>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</si>
  <si>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</si>
  <si>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</si>
  <si>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</si>
  <si>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</si>
  <si>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</si>
  <si>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</si>
  <si>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</si>
  <si>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</si>
  <si>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</si>
  <si>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</si>
  <si>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</si>
  <si>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</si>
  <si>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</si>
  <si>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</si>
  <si>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</si>
  <si>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</si>
  <si>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</si>
  <si>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</si>
  <si>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</si>
  <si>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</si>
  <si>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</si>
  <si>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</si>
  <si>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</si>
  <si>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</si>
  <si>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</si>
  <si>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</si>
  <si>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</si>
  <si>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</si>
  <si>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</si>
  <si>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</si>
  <si>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</si>
  <si>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</si>
  <si>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</si>
  <si>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</si>
  <si>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</si>
  <si>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</si>
  <si>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</si>
  <si>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</si>
  <si>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</si>
  <si>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</si>
  <si>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</si>
  <si>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</si>
  <si>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</si>
  <si>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</si>
  <si>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</si>
  <si>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</si>
  <si>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</si>
  <si>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</si>
  <si>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</si>
  <si>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</si>
  <si>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</si>
  <si>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</si>
  <si>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</si>
  <si>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</si>
  <si>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</si>
  <si>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</si>
  <si>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</si>
  <si>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</si>
  <si>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</si>
  <si>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</si>
  <si>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</si>
  <si>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</si>
  <si>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</si>
  <si>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</si>
  <si>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</si>
  <si>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</si>
  <si>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</si>
  <si>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</si>
  <si>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</si>
  <si>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</si>
  <si>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</si>
  <si>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</si>
  <si>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</si>
  <si>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</si>
  <si>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</si>
  <si>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</si>
  <si>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</si>
  <si>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</si>
  <si>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</si>
  <si>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</si>
  <si>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</si>
  <si>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</si>
  <si>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</si>
  <si>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</si>
  <si>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</si>
  <si>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</si>
  <si>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</si>
  <si>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</si>
  <si>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</si>
  <si>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</si>
  <si>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</si>
  <si>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</si>
  <si>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</si>
  <si>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</si>
  <si>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</si>
  <si>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</si>
  <si>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</si>
  <si>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</si>
  <si>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</si>
  <si>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</si>
  <si>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</si>
  <si>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</si>
  <si>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</si>
  <si>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</si>
  <si>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</si>
  <si>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</si>
  <si>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</si>
  <si>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</si>
  <si>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</si>
  <si>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</si>
  <si>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</si>
  <si>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</si>
  <si>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</si>
  <si>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</si>
  <si>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</si>
  <si>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</si>
  <si>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</si>
  <si>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</si>
  <si>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</si>
  <si>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</si>
  <si>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</si>
  <si>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</si>
  <si>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</si>
  <si>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</si>
  <si>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</si>
  <si>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</si>
  <si>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</si>
  <si>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</si>
  <si>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</si>
  <si>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</si>
  <si>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</si>
  <si>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</si>
  <si>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</si>
  <si>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</si>
  <si>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</si>
  <si>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</si>
  <si>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</si>
  <si>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</si>
  <si>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</si>
  <si>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</si>
  <si>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</si>
  <si>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</si>
  <si>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</si>
  <si>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</si>
  <si>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</si>
  <si>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</si>
  <si>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</si>
  <si>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</si>
  <si>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</si>
  <si>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</si>
  <si>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</si>
  <si>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</si>
  <si>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</si>
  <si>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</si>
  <si>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</si>
  <si>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</si>
  <si>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</si>
  <si>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</si>
  <si>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</si>
  <si>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</si>
  <si>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</si>
  <si>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</si>
  <si>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</si>
  <si>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</si>
  <si>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</si>
  <si>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</si>
  <si>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</si>
  <si>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</si>
  <si>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</si>
  <si>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</si>
  <si>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</si>
  <si>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</si>
  <si>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</si>
  <si>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</si>
  <si>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</si>
  <si>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</si>
  <si>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</si>
  <si>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</si>
  <si>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</si>
  <si>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</si>
  <si>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</si>
  <si>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</si>
  <si>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</si>
  <si>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</si>
  <si>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</si>
  <si>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</si>
  <si>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</si>
  <si>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</si>
  <si>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</si>
  <si>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</si>
  <si>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</si>
  <si>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</si>
  <si>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</si>
  <si>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</si>
  <si>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</si>
  <si>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</si>
  <si>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</si>
  <si>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</si>
  <si>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</si>
  <si>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</si>
  <si>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</si>
  <si>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</si>
  <si>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</si>
  <si>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</si>
  <si>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</si>
  <si>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</si>
  <si>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</si>
  <si>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</si>
  <si>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</si>
  <si>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</si>
  <si>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</si>
  <si>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</si>
  <si>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</si>
  <si>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</si>
  <si>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</si>
  <si>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</si>
  <si>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</si>
  <si>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</si>
  <si>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</si>
  <si>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</si>
  <si>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</si>
  <si>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</si>
  <si>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</si>
  <si>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</si>
  <si>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</si>
  <si>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</si>
  <si>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</si>
  <si>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</si>
  <si>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</si>
  <si>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</si>
  <si>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</si>
  <si>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</si>
  <si>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</si>
  <si>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</si>
  <si>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</si>
  <si>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</si>
  <si>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</si>
  <si>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</si>
  <si>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</si>
  <si>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</si>
  <si>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</si>
  <si>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</si>
  <si>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</si>
  <si>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</si>
  <si>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</si>
  <si>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</si>
  <si>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</si>
  <si>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</si>
  <si>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</si>
  <si>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</si>
  <si>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</si>
  <si>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</si>
  <si>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</si>
  <si>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</si>
  <si>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</si>
  <si>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</si>
  <si>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</si>
  <si>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</si>
  <si>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</si>
  <si>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</si>
  <si>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</si>
  <si>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</si>
  <si>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</si>
  <si>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</si>
  <si>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</si>
  <si>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</si>
  <si>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</si>
  <si>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</si>
  <si>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</si>
  <si>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</si>
  <si>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</si>
  <si>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</si>
  <si>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</si>
  <si>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</si>
  <si>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</si>
  <si>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</si>
  <si>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</si>
  <si>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</si>
  <si>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</si>
  <si>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</si>
  <si>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</si>
  <si>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</si>
  <si>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</si>
  <si>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</si>
  <si>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</si>
  <si>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</si>
  <si>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</si>
  <si>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</si>
  <si>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</si>
  <si>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</si>
  <si>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</si>
  <si>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</si>
  <si>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</si>
  <si>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</si>
  <si>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</si>
  <si>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</si>
  <si>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</si>
  <si>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</si>
  <si>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</si>
  <si>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</si>
  <si>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</si>
  <si>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</si>
  <si>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</si>
  <si>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</si>
  <si>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</si>
  <si>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</si>
  <si>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</si>
  <si>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</si>
  <si>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</si>
  <si>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</si>
  <si>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</si>
  <si>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</si>
  <si>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</si>
  <si>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</si>
  <si>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</si>
  <si>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</si>
  <si>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</si>
  <si>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</si>
  <si>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</si>
  <si>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</si>
  <si>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</si>
  <si>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</si>
  <si>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</si>
  <si>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</si>
  <si>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</si>
  <si>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</si>
  <si>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</si>
  <si>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</si>
  <si>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</si>
  <si>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</si>
  <si>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</si>
  <si>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</si>
  <si>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</si>
  <si>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</si>
  <si>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</si>
  <si>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</si>
  <si>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</si>
  <si>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</si>
  <si>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</si>
  <si>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</si>
  <si>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</si>
  <si>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</si>
  <si>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</si>
  <si>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</si>
  <si>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</si>
  <si>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</si>
  <si>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</si>
  <si>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</si>
  <si>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</si>
  <si>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</si>
  <si>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</si>
  <si>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</si>
  <si>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</si>
  <si>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</si>
  <si>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</si>
  <si>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</si>
  <si>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</si>
  <si>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</si>
  <si>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</si>
  <si>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</si>
  <si>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</si>
  <si>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</si>
  <si>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</si>
  <si>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</si>
  <si>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</si>
  <si>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</si>
  <si>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</si>
  <si>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</si>
  <si>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</si>
  <si>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</si>
  <si>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</si>
  <si>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</si>
  <si>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</si>
  <si>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</si>
  <si>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</si>
  <si>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</si>
  <si>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</si>
  <si>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</si>
  <si>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Merrimack Valley Regional School District</t>
  </si>
  <si>
    <t>19 -6  Fund 21 - Prior Period Adjustment to Interfund Payables</t>
  </si>
  <si>
    <t>19-3 Fund 10 - Prior Period Adjustment to Interfund Receivables</t>
  </si>
  <si>
    <t>06/05</t>
  </si>
  <si>
    <t>10/14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</si>
</sst>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3" fillId="0" borderId="0" xfId="0" quotePrefix="1" applyNumberFormat="1" applyFont="1" applyProtection="1">
      <protection locked="0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352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3594168</v>
      </c>
      <c r="G9" s="18">
        <v>25050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2326+32176</f>
        <v>34502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f>57052+14524</f>
        <v>71576</v>
      </c>
      <c r="I12" s="18">
        <v>126769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38506</v>
      </c>
      <c r="H13" s="18">
        <f>255210+4705</f>
        <v>259915</v>
      </c>
      <c r="I13" s="18"/>
      <c r="J13" s="67">
        <f>SUM(I442)</f>
        <v>548955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2304+2003-2014-575</f>
        <v>1718</v>
      </c>
      <c r="G14" s="18">
        <v>7163</v>
      </c>
      <c r="H14" s="18">
        <f>53950+14790+1</f>
        <v>68741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25478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3630388</v>
      </c>
      <c r="G19" s="41">
        <f>SUM(G9:G18)</f>
        <v>96197</v>
      </c>
      <c r="H19" s="41">
        <f>SUM(H9:H18)</f>
        <v>400232</v>
      </c>
      <c r="I19" s="41">
        <f>SUM(I9:I18)</f>
        <v>126769</v>
      </c>
      <c r="J19" s="41">
        <f>SUM(J9:J18)</f>
        <v>548955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-47395+47530</f>
        <v>135</v>
      </c>
      <c r="G22" s="18">
        <f>70937-47530</f>
        <v>23407</v>
      </c>
      <c r="H22" s="18">
        <f>173345+41484</f>
        <v>214829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97477</v>
      </c>
      <c r="G24" s="18">
        <v>28156</v>
      </c>
      <c r="H24" s="18">
        <f>1906+9758+6999</f>
        <v>18663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170+61067+334951+1933994</f>
        <v>2330182</v>
      </c>
      <c r="G28" s="18">
        <f>44634</f>
        <v>44634</v>
      </c>
      <c r="H28" s="18">
        <f>79958+2799</f>
        <v>82757</v>
      </c>
      <c r="I28" s="18">
        <v>205792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1844-2+14-127-1892</f>
        <v>-163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66754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2427631</v>
      </c>
      <c r="G32" s="41">
        <f>SUM(G22:G31)</f>
        <v>96197</v>
      </c>
      <c r="H32" s="41">
        <f>SUM(H22:H31)</f>
        <v>383003</v>
      </c>
      <c r="I32" s="41">
        <f>SUM(I22:I31)</f>
        <v>205792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25478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G476-25478</f>
        <v>-25478</v>
      </c>
      <c r="H48" s="18">
        <f t="shared" ref="H48:I48" si="0">H476</f>
        <v>17229</v>
      </c>
      <c r="I48" s="18">
        <f t="shared" si="0"/>
        <v>-79023</v>
      </c>
      <c r="J48" s="13">
        <f>SUM(I459)</f>
        <v>548955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82000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F476-82000</f>
        <v>1120757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1202757</v>
      </c>
      <c r="G51" s="41">
        <f>SUM(G35:G50)</f>
        <v>0</v>
      </c>
      <c r="H51" s="41">
        <f>SUM(H35:H50)</f>
        <v>17229</v>
      </c>
      <c r="I51" s="41">
        <f>SUM(I35:I50)</f>
        <v>-79023</v>
      </c>
      <c r="J51" s="41">
        <f>SUM(J35:J50)</f>
        <v>548955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3630388</v>
      </c>
      <c r="G52" s="41">
        <f>G51+G32</f>
        <v>96197</v>
      </c>
      <c r="H52" s="41">
        <f>H51+H32</f>
        <v>400232</v>
      </c>
      <c r="I52" s="41">
        <f>I51+I32</f>
        <v>126769</v>
      </c>
      <c r="J52" s="41">
        <f>J51+J32</f>
        <v>548955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5653774+3181401+5974963+1798658+2439875</f>
        <v>19048671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19048671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780783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91877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872660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9</f>
        <v>9</v>
      </c>
      <c r="G96" s="18">
        <v>147</v>
      </c>
      <c r="H96" s="18"/>
      <c r="I96" s="18">
        <v>24</v>
      </c>
      <c r="J96" s="18">
        <f>4370+5126</f>
        <v>9496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46034+28119+80039+10837+18829+150578+270562</f>
        <v>604998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44460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55208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9126</v>
      </c>
      <c r="G110" s="18">
        <v>16093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108803</v>
      </c>
      <c r="G111" s="41">
        <f>SUM(G96:G110)</f>
        <v>621238</v>
      </c>
      <c r="H111" s="41">
        <f>SUM(H96:H110)</f>
        <v>0</v>
      </c>
      <c r="I111" s="41">
        <f>SUM(I96:I110)</f>
        <v>24</v>
      </c>
      <c r="J111" s="41">
        <f>SUM(J96:J110)</f>
        <v>9496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20030134</v>
      </c>
      <c r="G112" s="41">
        <f>G60+G111</f>
        <v>621238</v>
      </c>
      <c r="H112" s="41">
        <f>H60+H79+H94+H111</f>
        <v>0</v>
      </c>
      <c r="I112" s="41">
        <f>I60+I111</f>
        <v>24</v>
      </c>
      <c r="J112" s="41">
        <f>J60+J111</f>
        <v>9496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10055963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3211403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13267366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1347331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190927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18323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14022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1556581</v>
      </c>
      <c r="G136" s="41">
        <f>SUM(G123:G135)</f>
        <v>14022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14823947</v>
      </c>
      <c r="G140" s="41">
        <f>G121+SUM(G136:G137)</f>
        <v>14022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68137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68137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15876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593623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163611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412542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609575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389137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39550+10587</f>
        <v>50137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389137</v>
      </c>
      <c r="G162" s="41">
        <f>SUM(G150:G161)</f>
        <v>412542</v>
      </c>
      <c r="H162" s="41">
        <f>SUM(H150:H161)</f>
        <v>1432822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41684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389137</v>
      </c>
      <c r="G169" s="41">
        <f>G147+G162+SUM(G163:G168)</f>
        <v>454226</v>
      </c>
      <c r="H169" s="41">
        <f>H147+H162+SUM(H163:H168)</f>
        <v>1500959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47530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47530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47530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35243218</v>
      </c>
      <c r="G193" s="47">
        <f>G112+G140+G169+G192</f>
        <v>1137016</v>
      </c>
      <c r="H193" s="47">
        <f>H112+H140+H169+H192</f>
        <v>1500959</v>
      </c>
      <c r="I193" s="47">
        <f>I112+I140+I169+I192</f>
        <v>24</v>
      </c>
      <c r="J193" s="47">
        <f>J112+J140+J192</f>
        <v>9496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3781584+136778-1</f>
        <v>3918361</v>
      </c>
      <c r="G197" s="18">
        <v>1581152</v>
      </c>
      <c r="H197" s="18">
        <v>8008</v>
      </c>
      <c r="I197" s="18">
        <f>94892+66507</f>
        <v>161399</v>
      </c>
      <c r="J197" s="18">
        <v>26834</v>
      </c>
      <c r="K197" s="18"/>
      <c r="L197" s="19">
        <f>SUM(F197:K197)</f>
        <v>5695754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1633293+40600-1</f>
        <v>1673892</v>
      </c>
      <c r="G198" s="18">
        <f>691776</f>
        <v>691776</v>
      </c>
      <c r="H198" s="18">
        <f>272011+47797</f>
        <v>319808</v>
      </c>
      <c r="I198" s="18">
        <f>3025+990</f>
        <v>4015</v>
      </c>
      <c r="J198" s="18">
        <v>411</v>
      </c>
      <c r="K198" s="18"/>
      <c r="L198" s="19">
        <f>SUM(F198:K198)</f>
        <v>2689902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15775</v>
      </c>
      <c r="G200" s="18">
        <v>29940</v>
      </c>
      <c r="H200" s="18"/>
      <c r="I200" s="18"/>
      <c r="J200" s="18"/>
      <c r="K200" s="18">
        <v>114</v>
      </c>
      <c r="L200" s="19">
        <f>SUM(F200:K200)</f>
        <v>45829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598681+376636</f>
        <v>975317</v>
      </c>
      <c r="G202" s="18">
        <v>448331</v>
      </c>
      <c r="H202" s="18">
        <f>259432+18729</f>
        <v>278161</v>
      </c>
      <c r="I202" s="18">
        <f>6605+286</f>
        <v>6891</v>
      </c>
      <c r="J202" s="18">
        <v>1396</v>
      </c>
      <c r="K202" s="18">
        <v>604</v>
      </c>
      <c r="L202" s="19">
        <f t="shared" ref="L202:L208" si="1">SUM(F202:K202)</f>
        <v>1710700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85929+158338</f>
        <v>244267</v>
      </c>
      <c r="G203" s="18">
        <v>125408</v>
      </c>
      <c r="H203" s="18">
        <f>402+50781</f>
        <v>51183</v>
      </c>
      <c r="I203" s="18">
        <f>6962+12991</f>
        <v>19953</v>
      </c>
      <c r="J203" s="18">
        <v>34871</v>
      </c>
      <c r="K203" s="18"/>
      <c r="L203" s="19">
        <f t="shared" si="1"/>
        <v>475682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20365</v>
      </c>
      <c r="G204" s="18">
        <v>10585</v>
      </c>
      <c r="H204" s="18">
        <v>347679</v>
      </c>
      <c r="I204" s="18">
        <v>1561</v>
      </c>
      <c r="J204" s="18">
        <v>0</v>
      </c>
      <c r="K204" s="18">
        <v>2349</v>
      </c>
      <c r="L204" s="19">
        <f t="shared" si="1"/>
        <v>382539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536152</v>
      </c>
      <c r="G205" s="18">
        <v>213344</v>
      </c>
      <c r="H205" s="18">
        <v>17639</v>
      </c>
      <c r="I205" s="18">
        <f>6054+652</f>
        <v>6706</v>
      </c>
      <c r="J205" s="18">
        <v>22084</v>
      </c>
      <c r="K205" s="18">
        <v>3052</v>
      </c>
      <c r="L205" s="19">
        <f t="shared" si="1"/>
        <v>798977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1894</v>
      </c>
      <c r="I206" s="18"/>
      <c r="J206" s="18"/>
      <c r="K206" s="18"/>
      <c r="L206" s="19">
        <f t="shared" si="1"/>
        <v>1894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374845+217603</f>
        <v>592448</v>
      </c>
      <c r="G207" s="18">
        <v>249605</v>
      </c>
      <c r="H207" s="18">
        <f>154930+174467</f>
        <v>329397</v>
      </c>
      <c r="I207" s="18">
        <f>394574+43140</f>
        <v>437714</v>
      </c>
      <c r="J207" s="18">
        <v>23409</v>
      </c>
      <c r="K207" s="18"/>
      <c r="L207" s="19">
        <f t="shared" si="1"/>
        <v>1632573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17362+375697</f>
        <v>393059</v>
      </c>
      <c r="G208" s="18">
        <v>153185</v>
      </c>
      <c r="H208" s="18">
        <v>126710</v>
      </c>
      <c r="I208" s="18">
        <v>113806</v>
      </c>
      <c r="J208" s="18">
        <v>40292</v>
      </c>
      <c r="K208" s="18">
        <v>259</v>
      </c>
      <c r="L208" s="19">
        <f t="shared" si="1"/>
        <v>827311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2">SUM(F197:F210)</f>
        <v>8369636</v>
      </c>
      <c r="G211" s="41">
        <f t="shared" si="2"/>
        <v>3503326</v>
      </c>
      <c r="H211" s="41">
        <f t="shared" si="2"/>
        <v>1480479</v>
      </c>
      <c r="I211" s="41">
        <f t="shared" si="2"/>
        <v>752045</v>
      </c>
      <c r="J211" s="41">
        <f t="shared" si="2"/>
        <v>149297</v>
      </c>
      <c r="K211" s="41">
        <f t="shared" si="2"/>
        <v>6378</v>
      </c>
      <c r="L211" s="41">
        <f t="shared" si="2"/>
        <v>14261161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78971+2133525-1</f>
        <v>2212495</v>
      </c>
      <c r="G215" s="18">
        <v>912899</v>
      </c>
      <c r="H215" s="18">
        <v>5425</v>
      </c>
      <c r="I215" s="18">
        <f>31346+38399</f>
        <v>69745</v>
      </c>
      <c r="J215" s="18">
        <v>19342</v>
      </c>
      <c r="K215" s="18"/>
      <c r="L215" s="19">
        <f>SUM(F215:K215)</f>
        <v>3219906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23441+684939-1</f>
        <v>708379</v>
      </c>
      <c r="G216" s="18">
        <f>399406</f>
        <v>399406</v>
      </c>
      <c r="H216" s="18">
        <f>89953+27596</f>
        <v>117549</v>
      </c>
      <c r="I216" s="18">
        <f>3007+571</f>
        <v>3578</v>
      </c>
      <c r="J216" s="18">
        <f>538+237</f>
        <v>775</v>
      </c>
      <c r="K216" s="18"/>
      <c r="L216" s="19">
        <f>SUM(F216:K216)</f>
        <v>1229687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63243</v>
      </c>
      <c r="G218" s="18">
        <v>17286</v>
      </c>
      <c r="H218" s="18"/>
      <c r="I218" s="18">
        <v>30000</v>
      </c>
      <c r="J218" s="18"/>
      <c r="K218" s="18">
        <v>66</v>
      </c>
      <c r="L218" s="19">
        <f>SUM(F218:K218)</f>
        <v>110595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364641+217456</f>
        <v>582097</v>
      </c>
      <c r="G220" s="18">
        <v>258850</v>
      </c>
      <c r="H220" s="18">
        <f>123018+10813</f>
        <v>133831</v>
      </c>
      <c r="I220" s="18">
        <f>2920+165</f>
        <v>3085</v>
      </c>
      <c r="J220" s="18">
        <f>299+806</f>
        <v>1105</v>
      </c>
      <c r="K220" s="18">
        <f>100+349</f>
        <v>449</v>
      </c>
      <c r="L220" s="19">
        <f t="shared" ref="L220:L226" si="3">SUM(F220:K220)</f>
        <v>979417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74202+91419</f>
        <v>165621</v>
      </c>
      <c r="G221" s="18">
        <v>72406</v>
      </c>
      <c r="H221" s="18">
        <v>29319</v>
      </c>
      <c r="I221" s="18">
        <f>11481+7500</f>
        <v>18981</v>
      </c>
      <c r="J221" s="18">
        <f>796+20133</f>
        <v>20929</v>
      </c>
      <c r="K221" s="18">
        <v>28</v>
      </c>
      <c r="L221" s="19">
        <f t="shared" si="3"/>
        <v>307284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11758</v>
      </c>
      <c r="G222" s="18">
        <v>6111</v>
      </c>
      <c r="H222" s="18">
        <v>200737</v>
      </c>
      <c r="I222" s="18">
        <v>901</v>
      </c>
      <c r="J222" s="18">
        <v>0</v>
      </c>
      <c r="K222" s="18">
        <v>1356</v>
      </c>
      <c r="L222" s="19">
        <f t="shared" si="3"/>
        <v>220863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258861</v>
      </c>
      <c r="G223" s="18">
        <v>123177</v>
      </c>
      <c r="H223" s="18">
        <v>11152</v>
      </c>
      <c r="I223" s="18">
        <f>225+377</f>
        <v>602</v>
      </c>
      <c r="J223" s="18">
        <v>12750</v>
      </c>
      <c r="K223" s="18">
        <v>1939</v>
      </c>
      <c r="L223" s="19">
        <f t="shared" si="3"/>
        <v>408481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1093</v>
      </c>
      <c r="I224" s="18"/>
      <c r="J224" s="18"/>
      <c r="K224" s="18"/>
      <c r="L224" s="19">
        <f t="shared" si="3"/>
        <v>1093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121142+125636</f>
        <v>246778</v>
      </c>
      <c r="G225" s="18">
        <v>144113</v>
      </c>
      <c r="H225" s="18">
        <f>97044+100731</f>
        <v>197775</v>
      </c>
      <c r="I225" s="18">
        <f>152813+24907</f>
        <v>177720</v>
      </c>
      <c r="J225" s="18">
        <v>13515</v>
      </c>
      <c r="K225" s="18"/>
      <c r="L225" s="19">
        <f t="shared" si="3"/>
        <v>779901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9526+216913</f>
        <v>226439</v>
      </c>
      <c r="G226" s="18">
        <v>88443</v>
      </c>
      <c r="H226" s="18">
        <v>73158</v>
      </c>
      <c r="I226" s="18">
        <v>65708</v>
      </c>
      <c r="J226" s="18">
        <v>23263</v>
      </c>
      <c r="K226" s="18">
        <v>149</v>
      </c>
      <c r="L226" s="19">
        <f t="shared" si="3"/>
        <v>477160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4">SUM(F215:F228)</f>
        <v>4475671</v>
      </c>
      <c r="G229" s="41">
        <f>SUM(G215:G228)</f>
        <v>2022691</v>
      </c>
      <c r="H229" s="41">
        <f>SUM(H215:H228)</f>
        <v>770039</v>
      </c>
      <c r="I229" s="41">
        <f>SUM(I215:I228)</f>
        <v>370320</v>
      </c>
      <c r="J229" s="41">
        <f>SUM(J215:J228)</f>
        <v>91679</v>
      </c>
      <c r="K229" s="41">
        <f t="shared" si="4"/>
        <v>3987</v>
      </c>
      <c r="L229" s="41">
        <f t="shared" si="4"/>
        <v>7734387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109310+2362700-1</f>
        <v>2472009</v>
      </c>
      <c r="G233" s="18">
        <v>1263626</v>
      </c>
      <c r="H233" s="18">
        <v>2841</v>
      </c>
      <c r="I233" s="18">
        <f>79044+53151</f>
        <v>132195</v>
      </c>
      <c r="J233" s="18">
        <v>12353</v>
      </c>
      <c r="K233" s="18"/>
      <c r="L233" s="19">
        <f>SUM(F233:K233)</f>
        <v>3883024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32447+979601-1</f>
        <v>1012047</v>
      </c>
      <c r="G234" s="18">
        <f>552854</f>
        <v>552854</v>
      </c>
      <c r="H234" s="18">
        <f>512794+38199</f>
        <v>550993</v>
      </c>
      <c r="I234" s="18">
        <f>2296+791</f>
        <v>3087</v>
      </c>
      <c r="J234" s="18">
        <v>328</v>
      </c>
      <c r="K234" s="18"/>
      <c r="L234" s="19">
        <f>SUM(F234:K234)</f>
        <v>2119309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123986</v>
      </c>
      <c r="I235" s="18"/>
      <c r="J235" s="18"/>
      <c r="K235" s="18"/>
      <c r="L235" s="19">
        <f>SUM(F235:K235)</f>
        <v>123986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254732</v>
      </c>
      <c r="G236" s="18">
        <v>23928</v>
      </c>
      <c r="H236" s="18">
        <v>29291</v>
      </c>
      <c r="I236" s="18">
        <v>36625</v>
      </c>
      <c r="J236" s="18"/>
      <c r="K236" s="18">
        <f>5134+91</f>
        <v>5225</v>
      </c>
      <c r="L236" s="19">
        <f>SUM(F236:K236)</f>
        <v>349801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441706+301000</f>
        <v>742706</v>
      </c>
      <c r="G238" s="18">
        <v>358297</v>
      </c>
      <c r="H238" s="18">
        <f>251752+14968</f>
        <v>266720</v>
      </c>
      <c r="I238" s="18">
        <f>5884+229</f>
        <v>6113</v>
      </c>
      <c r="J238" s="18">
        <v>1116</v>
      </c>
      <c r="K238" s="18">
        <v>483</v>
      </c>
      <c r="L238" s="19">
        <f t="shared" ref="L238:L244" si="5">SUM(F238:K238)</f>
        <v>1375435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101790+126541</f>
        <v>228331</v>
      </c>
      <c r="G239" s="18">
        <v>100223</v>
      </c>
      <c r="H239" s="18">
        <v>40583</v>
      </c>
      <c r="I239" s="18">
        <f>11639+10382</f>
        <v>22021</v>
      </c>
      <c r="J239" s="18">
        <f>985+27868</f>
        <v>28853</v>
      </c>
      <c r="K239" s="18"/>
      <c r="L239" s="19">
        <f t="shared" si="5"/>
        <v>420011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16275</v>
      </c>
      <c r="G240" s="18">
        <v>8459</v>
      </c>
      <c r="H240" s="18">
        <v>277858</v>
      </c>
      <c r="I240" s="18">
        <v>1248</v>
      </c>
      <c r="J240" s="18">
        <v>0</v>
      </c>
      <c r="K240" s="18">
        <v>1877</v>
      </c>
      <c r="L240" s="19">
        <f t="shared" si="5"/>
        <v>305717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398266</v>
      </c>
      <c r="G241" s="18">
        <v>170500</v>
      </c>
      <c r="H241" s="18">
        <v>17431</v>
      </c>
      <c r="I241" s="18">
        <v>521</v>
      </c>
      <c r="J241" s="18">
        <v>17649</v>
      </c>
      <c r="K241" s="18">
        <v>16000</v>
      </c>
      <c r="L241" s="19">
        <f t="shared" si="5"/>
        <v>620367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1513</v>
      </c>
      <c r="I242" s="18"/>
      <c r="J242" s="18"/>
      <c r="K242" s="18"/>
      <c r="L242" s="19">
        <f t="shared" si="5"/>
        <v>1513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211752+173904</f>
        <v>385656</v>
      </c>
      <c r="G243" s="18">
        <v>199480</v>
      </c>
      <c r="H243" s="18">
        <f>104511+139430</f>
        <v>243941</v>
      </c>
      <c r="I243" s="18">
        <f>184586+34477</f>
        <v>219063</v>
      </c>
      <c r="J243" s="18">
        <v>18708</v>
      </c>
      <c r="K243" s="18"/>
      <c r="L243" s="19">
        <f t="shared" si="5"/>
        <v>1066848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58443+300250</f>
        <v>358693</v>
      </c>
      <c r="G244" s="18">
        <v>122422</v>
      </c>
      <c r="H244" s="18">
        <v>101264</v>
      </c>
      <c r="I244" s="18">
        <v>90952</v>
      </c>
      <c r="J244" s="18">
        <v>32200</v>
      </c>
      <c r="K244" s="18">
        <v>207</v>
      </c>
      <c r="L244" s="19">
        <f t="shared" si="5"/>
        <v>705738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6">SUM(F233:F246)</f>
        <v>5868715</v>
      </c>
      <c r="G247" s="41">
        <f t="shared" si="6"/>
        <v>2799789</v>
      </c>
      <c r="H247" s="41">
        <f t="shared" si="6"/>
        <v>1656421</v>
      </c>
      <c r="I247" s="41">
        <f t="shared" si="6"/>
        <v>511825</v>
      </c>
      <c r="J247" s="41">
        <f t="shared" si="6"/>
        <v>111207</v>
      </c>
      <c r="K247" s="41">
        <f t="shared" si="6"/>
        <v>23792</v>
      </c>
      <c r="L247" s="41">
        <f t="shared" si="6"/>
        <v>10971749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7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7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7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7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7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46482+43280-2900</f>
        <v>86862</v>
      </c>
      <c r="I255" s="18"/>
      <c r="J255" s="18"/>
      <c r="K255" s="18"/>
      <c r="L255" s="19">
        <f t="shared" si="7"/>
        <v>86862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8">SUM(F250:F255)</f>
        <v>0</v>
      </c>
      <c r="G256" s="41">
        <f t="shared" si="8"/>
        <v>0</v>
      </c>
      <c r="H256" s="41">
        <f t="shared" si="8"/>
        <v>86862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>SUM(F256:K256)</f>
        <v>86862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9">F211+F229+F247+F256</f>
        <v>18714022</v>
      </c>
      <c r="G257" s="41">
        <f t="shared" si="9"/>
        <v>8325806</v>
      </c>
      <c r="H257" s="41">
        <f t="shared" si="9"/>
        <v>3993801</v>
      </c>
      <c r="I257" s="41">
        <f t="shared" si="9"/>
        <v>1634190</v>
      </c>
      <c r="J257" s="41">
        <f t="shared" si="9"/>
        <v>352183</v>
      </c>
      <c r="K257" s="41">
        <f t="shared" si="9"/>
        <v>34157</v>
      </c>
      <c r="L257" s="41">
        <f t="shared" si="9"/>
        <v>33054159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1980000</v>
      </c>
      <c r="L260" s="19">
        <f>SUM(F260:K260)</f>
        <v>1980000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101970</v>
      </c>
      <c r="L261" s="19">
        <f>SUM(F261:K261)</f>
        <v>101970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47530</v>
      </c>
      <c r="L263" s="19">
        <f>SUM(F263:K263)</f>
        <v>47530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10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10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10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10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10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1">SUM(F260:F269)</f>
        <v>0</v>
      </c>
      <c r="G270" s="42">
        <f t="shared" si="11"/>
        <v>0</v>
      </c>
      <c r="H270" s="42">
        <f t="shared" si="11"/>
        <v>0</v>
      </c>
      <c r="I270" s="42">
        <f t="shared" si="11"/>
        <v>0</v>
      </c>
      <c r="J270" s="42">
        <f t="shared" si="11"/>
        <v>0</v>
      </c>
      <c r="K270" s="42">
        <f t="shared" si="11"/>
        <v>2129500</v>
      </c>
      <c r="L270" s="41">
        <f t="shared" si="10"/>
        <v>2129500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2">F257+F270</f>
        <v>18714022</v>
      </c>
      <c r="G271" s="42">
        <f t="shared" si="12"/>
        <v>8325806</v>
      </c>
      <c r="H271" s="42">
        <f t="shared" si="12"/>
        <v>3993801</v>
      </c>
      <c r="I271" s="42">
        <f t="shared" si="12"/>
        <v>1634190</v>
      </c>
      <c r="J271" s="42">
        <f t="shared" si="12"/>
        <v>352183</v>
      </c>
      <c r="K271" s="42">
        <f t="shared" si="12"/>
        <v>2163657</v>
      </c>
      <c r="L271" s="42">
        <f t="shared" si="12"/>
        <v>35183659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3950+2317</f>
        <v>6267</v>
      </c>
      <c r="G276" s="18">
        <v>619</v>
      </c>
      <c r="H276" s="18">
        <f>4712+210</f>
        <v>4922</v>
      </c>
      <c r="I276" s="18">
        <v>5569</v>
      </c>
      <c r="J276" s="18">
        <v>11078</v>
      </c>
      <c r="K276" s="18"/>
      <c r="L276" s="19">
        <f>SUM(F276:K276)</f>
        <v>28455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354368+10875-1</f>
        <v>365242</v>
      </c>
      <c r="G277" s="18">
        <v>93955</v>
      </c>
      <c r="H277" s="18">
        <f>969+23203</f>
        <v>24172</v>
      </c>
      <c r="I277" s="18">
        <f>2946+21711</f>
        <v>24657</v>
      </c>
      <c r="J277" s="18">
        <v>15597</v>
      </c>
      <c r="K277" s="18"/>
      <c r="L277" s="19">
        <f>SUM(F277:K277)</f>
        <v>523623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16164</v>
      </c>
      <c r="G279" s="18">
        <v>1522</v>
      </c>
      <c r="H279" s="18">
        <v>323</v>
      </c>
      <c r="I279" s="18">
        <v>222</v>
      </c>
      <c r="J279" s="18"/>
      <c r="K279" s="18"/>
      <c r="L279" s="19">
        <f>SUM(F279:K279)</f>
        <v>18231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58646</v>
      </c>
      <c r="G281" s="18">
        <v>20195</v>
      </c>
      <c r="H281" s="18"/>
      <c r="I281" s="18">
        <v>32</v>
      </c>
      <c r="J281" s="18"/>
      <c r="K281" s="18"/>
      <c r="L281" s="19">
        <f t="shared" ref="L281:L287" si="13">SUM(F281:K281)</f>
        <v>78873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27134</v>
      </c>
      <c r="G282" s="18">
        <v>13906</v>
      </c>
      <c r="H282" s="18">
        <f>48209+21715</f>
        <v>69924</v>
      </c>
      <c r="I282" s="18">
        <f>2931+63</f>
        <v>2994</v>
      </c>
      <c r="J282" s="18">
        <f>3750+793</f>
        <v>4543</v>
      </c>
      <c r="K282" s="18"/>
      <c r="L282" s="19">
        <f t="shared" si="13"/>
        <v>118501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5470</v>
      </c>
      <c r="G283" s="18">
        <v>419</v>
      </c>
      <c r="H283" s="18"/>
      <c r="I283" s="18"/>
      <c r="J283" s="18"/>
      <c r="K283" s="18"/>
      <c r="L283" s="19">
        <f t="shared" si="13"/>
        <v>5889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53</v>
      </c>
      <c r="I284" s="18"/>
      <c r="J284" s="18"/>
      <c r="K284" s="18"/>
      <c r="L284" s="19">
        <f t="shared" si="13"/>
        <v>53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11447</v>
      </c>
      <c r="L285" s="19">
        <f t="shared" si="13"/>
        <v>11447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3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4812</v>
      </c>
      <c r="I287" s="18"/>
      <c r="J287" s="18"/>
      <c r="K287" s="18"/>
      <c r="L287" s="19">
        <f t="shared" si="13"/>
        <v>4812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59</v>
      </c>
      <c r="L288" s="19">
        <f>SUM(F288:K288)</f>
        <v>59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4">SUM(F276:F289)</f>
        <v>478923</v>
      </c>
      <c r="G290" s="42">
        <f t="shared" si="14"/>
        <v>130616</v>
      </c>
      <c r="H290" s="42">
        <f t="shared" si="14"/>
        <v>104206</v>
      </c>
      <c r="I290" s="42">
        <f t="shared" si="14"/>
        <v>33474</v>
      </c>
      <c r="J290" s="42">
        <f t="shared" si="14"/>
        <v>31218</v>
      </c>
      <c r="K290" s="42">
        <f t="shared" si="14"/>
        <v>11506</v>
      </c>
      <c r="L290" s="41">
        <f t="shared" si="14"/>
        <v>789943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1338</v>
      </c>
      <c r="G295" s="18">
        <v>358</v>
      </c>
      <c r="H295" s="18">
        <f>2720+121</f>
        <v>2841</v>
      </c>
      <c r="I295" s="18">
        <v>3215</v>
      </c>
      <c r="J295" s="18">
        <v>6396</v>
      </c>
      <c r="K295" s="18"/>
      <c r="L295" s="19">
        <f>SUM(F295:K295)</f>
        <v>14148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107937+6279-1</f>
        <v>114215</v>
      </c>
      <c r="G296" s="18">
        <v>54247</v>
      </c>
      <c r="H296" s="18">
        <v>13397</v>
      </c>
      <c r="I296" s="18">
        <f>1251+12535</f>
        <v>13786</v>
      </c>
      <c r="J296" s="18">
        <v>9005</v>
      </c>
      <c r="K296" s="18"/>
      <c r="L296" s="19">
        <f>SUM(F296:K296)</f>
        <v>204650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>
        <v>879</v>
      </c>
      <c r="H298" s="18">
        <v>186</v>
      </c>
      <c r="I298" s="18">
        <v>128</v>
      </c>
      <c r="J298" s="18"/>
      <c r="K298" s="18"/>
      <c r="L298" s="19">
        <f>SUM(F298:K298)</f>
        <v>1193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33860</v>
      </c>
      <c r="G300" s="18">
        <v>11660</v>
      </c>
      <c r="H300" s="18"/>
      <c r="I300" s="18">
        <v>18</v>
      </c>
      <c r="J300" s="18"/>
      <c r="K300" s="18"/>
      <c r="L300" s="19">
        <f t="shared" ref="L300:L306" si="15">SUM(F300:K300)</f>
        <v>45538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15666</v>
      </c>
      <c r="G301" s="18">
        <v>8029</v>
      </c>
      <c r="H301" s="18">
        <f>27834+12538</f>
        <v>40372</v>
      </c>
      <c r="I301" s="18">
        <f>1692+36</f>
        <v>1728</v>
      </c>
      <c r="J301" s="18">
        <f>2165+458</f>
        <v>2623</v>
      </c>
      <c r="K301" s="18"/>
      <c r="L301" s="19">
        <f t="shared" si="15"/>
        <v>68418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3158</v>
      </c>
      <c r="G302" s="18">
        <v>242</v>
      </c>
      <c r="H302" s="18"/>
      <c r="I302" s="18"/>
      <c r="J302" s="18"/>
      <c r="K302" s="18"/>
      <c r="L302" s="19">
        <f t="shared" si="15"/>
        <v>3400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>
        <v>30</v>
      </c>
      <c r="I303" s="18"/>
      <c r="J303" s="18"/>
      <c r="K303" s="18"/>
      <c r="L303" s="19">
        <f t="shared" si="15"/>
        <v>30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6609</v>
      </c>
      <c r="L304" s="19">
        <f t="shared" si="15"/>
        <v>6609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5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2778</v>
      </c>
      <c r="I306" s="18"/>
      <c r="J306" s="18"/>
      <c r="K306" s="18"/>
      <c r="L306" s="19">
        <f t="shared" si="15"/>
        <v>2778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34</v>
      </c>
      <c r="L307" s="19">
        <f>SUM(F307:K307)</f>
        <v>34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6">SUM(F295:F308)</f>
        <v>168237</v>
      </c>
      <c r="G309" s="42">
        <f t="shared" si="16"/>
        <v>75415</v>
      </c>
      <c r="H309" s="42">
        <f t="shared" si="16"/>
        <v>59604</v>
      </c>
      <c r="I309" s="42">
        <f t="shared" si="16"/>
        <v>18875</v>
      </c>
      <c r="J309" s="42">
        <f t="shared" si="16"/>
        <v>18024</v>
      </c>
      <c r="K309" s="42">
        <f t="shared" si="16"/>
        <v>6643</v>
      </c>
      <c r="L309" s="41">
        <f t="shared" si="16"/>
        <v>346798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1851</v>
      </c>
      <c r="G314" s="18">
        <v>495</v>
      </c>
      <c r="H314" s="18">
        <f>3766+168</f>
        <v>3934</v>
      </c>
      <c r="I314" s="18">
        <v>4451</v>
      </c>
      <c r="J314" s="18">
        <v>8853</v>
      </c>
      <c r="K314" s="18"/>
      <c r="L314" s="19">
        <f>SUM(F314:K314)</f>
        <v>19584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8691</v>
      </c>
      <c r="G315" s="18">
        <v>75088</v>
      </c>
      <c r="H315" s="18">
        <v>18544</v>
      </c>
      <c r="I315" s="18">
        <f>359+17351</f>
        <v>17710</v>
      </c>
      <c r="J315" s="18">
        <v>12465</v>
      </c>
      <c r="K315" s="18"/>
      <c r="L315" s="19">
        <f>SUM(F315:K315)</f>
        <v>132498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>
        <v>1216</v>
      </c>
      <c r="H317" s="18">
        <v>258</v>
      </c>
      <c r="I317" s="18">
        <v>177</v>
      </c>
      <c r="J317" s="18"/>
      <c r="K317" s="18"/>
      <c r="L317" s="19">
        <f>SUM(F317:K317)</f>
        <v>1651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46869</v>
      </c>
      <c r="G319" s="18">
        <v>16139</v>
      </c>
      <c r="H319" s="18"/>
      <c r="I319" s="18">
        <v>25</v>
      </c>
      <c r="J319" s="18"/>
      <c r="K319" s="18"/>
      <c r="L319" s="19">
        <f t="shared" ref="L319:L325" si="17">SUM(F319:K319)</f>
        <v>63033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21685</v>
      </c>
      <c r="G320" s="18">
        <v>11114</v>
      </c>
      <c r="H320" s="18">
        <f>38527+17354</f>
        <v>55881</v>
      </c>
      <c r="I320" s="18">
        <f>2342+50</f>
        <v>2392</v>
      </c>
      <c r="J320" s="18">
        <f>2996+634</f>
        <v>3630</v>
      </c>
      <c r="K320" s="18"/>
      <c r="L320" s="19">
        <f t="shared" si="17"/>
        <v>94702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4372</v>
      </c>
      <c r="G321" s="18">
        <v>334</v>
      </c>
      <c r="H321" s="18"/>
      <c r="I321" s="18"/>
      <c r="J321" s="18"/>
      <c r="K321" s="18"/>
      <c r="L321" s="19">
        <f t="shared" si="17"/>
        <v>4706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42</v>
      </c>
      <c r="I322" s="18"/>
      <c r="J322" s="18"/>
      <c r="K322" s="18"/>
      <c r="L322" s="19">
        <f t="shared" si="17"/>
        <v>42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9148</v>
      </c>
      <c r="L323" s="19">
        <f t="shared" si="17"/>
        <v>9148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7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3845</v>
      </c>
      <c r="I325" s="18"/>
      <c r="J325" s="18"/>
      <c r="K325" s="18"/>
      <c r="L325" s="19">
        <f t="shared" si="17"/>
        <v>3845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47</v>
      </c>
      <c r="L326" s="19">
        <f>SUM(F326:K326)</f>
        <v>47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8">SUM(F314:F327)</f>
        <v>83468</v>
      </c>
      <c r="G328" s="42">
        <f t="shared" si="18"/>
        <v>104386</v>
      </c>
      <c r="H328" s="42">
        <f t="shared" si="18"/>
        <v>82504</v>
      </c>
      <c r="I328" s="42">
        <f t="shared" si="18"/>
        <v>24755</v>
      </c>
      <c r="J328" s="42">
        <f t="shared" si="18"/>
        <v>24948</v>
      </c>
      <c r="K328" s="42">
        <f t="shared" si="18"/>
        <v>9195</v>
      </c>
      <c r="L328" s="41">
        <f t="shared" si="18"/>
        <v>329256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9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9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9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16515</v>
      </c>
      <c r="G335" s="18">
        <v>3133</v>
      </c>
      <c r="H335" s="18">
        <v>4256</v>
      </c>
      <c r="I335" s="18">
        <f>468+847</f>
        <v>1315</v>
      </c>
      <c r="J335" s="18"/>
      <c r="K335" s="18"/>
      <c r="L335" s="19">
        <f t="shared" si="19"/>
        <v>25219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9740</v>
      </c>
      <c r="I336" s="18"/>
      <c r="J336" s="18"/>
      <c r="K336" s="18"/>
      <c r="L336" s="19">
        <f t="shared" si="19"/>
        <v>9740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20">SUM(F332:F336)</f>
        <v>16515</v>
      </c>
      <c r="G337" s="41">
        <f t="shared" si="20"/>
        <v>3133</v>
      </c>
      <c r="H337" s="41">
        <f t="shared" si="20"/>
        <v>13996</v>
      </c>
      <c r="I337" s="41">
        <f t="shared" si="20"/>
        <v>1315</v>
      </c>
      <c r="J337" s="41">
        <f t="shared" si="20"/>
        <v>0</v>
      </c>
      <c r="K337" s="41">
        <f t="shared" si="20"/>
        <v>0</v>
      </c>
      <c r="L337" s="41">
        <f t="shared" si="19"/>
        <v>34959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1">F290+F309+F328+F337</f>
        <v>747143</v>
      </c>
      <c r="G338" s="41">
        <f t="shared" si="21"/>
        <v>313550</v>
      </c>
      <c r="H338" s="41">
        <f t="shared" si="21"/>
        <v>260310</v>
      </c>
      <c r="I338" s="41">
        <f t="shared" si="21"/>
        <v>78419</v>
      </c>
      <c r="J338" s="41">
        <f t="shared" si="21"/>
        <v>74190</v>
      </c>
      <c r="K338" s="41">
        <f t="shared" si="21"/>
        <v>27344</v>
      </c>
      <c r="L338" s="41">
        <f t="shared" si="21"/>
        <v>1500956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2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2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2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2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2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2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747143</v>
      </c>
      <c r="G352" s="41">
        <f>G338</f>
        <v>313550</v>
      </c>
      <c r="H352" s="41">
        <f>H338</f>
        <v>260310</v>
      </c>
      <c r="I352" s="41">
        <f>I338</f>
        <v>78419</v>
      </c>
      <c r="J352" s="41">
        <f>J338</f>
        <v>74190</v>
      </c>
      <c r="K352" s="47">
        <f>K338+K351</f>
        <v>27344</v>
      </c>
      <c r="L352" s="41">
        <f>L338+L351</f>
        <v>1500956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153535+29511</f>
        <v>183046</v>
      </c>
      <c r="G358" s="18">
        <v>35562</v>
      </c>
      <c r="H358" s="18">
        <f>11877+219</f>
        <v>12096</v>
      </c>
      <c r="I358" s="18">
        <v>182397</v>
      </c>
      <c r="J358" s="18">
        <v>0</v>
      </c>
      <c r="K358" s="18"/>
      <c r="L358" s="13">
        <f>SUM(F358:K358)</f>
        <v>413101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76661+17038</f>
        <v>93699</v>
      </c>
      <c r="G359" s="18">
        <v>20532</v>
      </c>
      <c r="H359" s="18">
        <f>3263+126</f>
        <v>3389</v>
      </c>
      <c r="I359" s="18">
        <v>133889</v>
      </c>
      <c r="J359" s="18">
        <v>0</v>
      </c>
      <c r="K359" s="18"/>
      <c r="L359" s="19">
        <f>SUM(F359:K359)</f>
        <v>251509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136886+23584</f>
        <v>160470</v>
      </c>
      <c r="G360" s="18">
        <v>28420</v>
      </c>
      <c r="H360" s="18">
        <f>8322+175</f>
        <v>8497</v>
      </c>
      <c r="I360" s="18">
        <f>254547-8559</f>
        <v>245988</v>
      </c>
      <c r="J360" s="18">
        <v>0</v>
      </c>
      <c r="K360" s="18"/>
      <c r="L360" s="19">
        <f>SUM(F360:K360)</f>
        <v>443375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3">SUM(F358:F361)</f>
        <v>437215</v>
      </c>
      <c r="G362" s="47">
        <f t="shared" si="23"/>
        <v>84514</v>
      </c>
      <c r="H362" s="47">
        <f t="shared" si="23"/>
        <v>23982</v>
      </c>
      <c r="I362" s="47">
        <f t="shared" si="23"/>
        <v>562274</v>
      </c>
      <c r="J362" s="47">
        <f t="shared" si="23"/>
        <v>0</v>
      </c>
      <c r="K362" s="47">
        <f t="shared" si="23"/>
        <v>0</v>
      </c>
      <c r="L362" s="47">
        <f t="shared" si="23"/>
        <v>1107985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150811+23012</f>
        <v>173823</v>
      </c>
      <c r="G367" s="18">
        <f>118866+8140</f>
        <v>127006</v>
      </c>
      <c r="H367" s="18">
        <f>226380+10533-8559</f>
        <v>228354</v>
      </c>
      <c r="I367" s="56">
        <f>SUM(F367:H367)</f>
        <v>529183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8198+376</f>
        <v>8574</v>
      </c>
      <c r="G368" s="63">
        <f>4351+2532</f>
        <v>6883</v>
      </c>
      <c r="H368" s="63">
        <f>17634</f>
        <v>17634</v>
      </c>
      <c r="I368" s="56">
        <f>SUM(F368:H368)</f>
        <v>33091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182397</v>
      </c>
      <c r="G369" s="47">
        <f>SUM(G367:G368)</f>
        <v>133889</v>
      </c>
      <c r="H369" s="47">
        <f>SUM(H367:H368)</f>
        <v>245988</v>
      </c>
      <c r="I369" s="47">
        <f>SUM(I367:I368)</f>
        <v>562274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4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4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4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141469</v>
      </c>
      <c r="I378" s="18"/>
      <c r="J378" s="18">
        <v>3645</v>
      </c>
      <c r="K378" s="18"/>
      <c r="L378" s="13">
        <f t="shared" si="24"/>
        <v>145114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4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4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4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5">SUM(G374:G381)</f>
        <v>0</v>
      </c>
      <c r="H382" s="139">
        <f t="shared" si="25"/>
        <v>141469</v>
      </c>
      <c r="I382" s="41">
        <f t="shared" si="25"/>
        <v>0</v>
      </c>
      <c r="J382" s="47">
        <f t="shared" si="25"/>
        <v>3645</v>
      </c>
      <c r="K382" s="47">
        <f t="shared" si="25"/>
        <v>0</v>
      </c>
      <c r="L382" s="47">
        <f t="shared" si="25"/>
        <v>145114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6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6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1822+1630</f>
        <v>3452</v>
      </c>
      <c r="I389" s="18"/>
      <c r="J389" s="24" t="s">
        <v>289</v>
      </c>
      <c r="K389" s="24" t="s">
        <v>289</v>
      </c>
      <c r="L389" s="56">
        <f t="shared" si="26"/>
        <v>3452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6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6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6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3452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3452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7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7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2547+3497</f>
        <v>6044</v>
      </c>
      <c r="I397" s="18"/>
      <c r="J397" s="24" t="s">
        <v>289</v>
      </c>
      <c r="K397" s="24" t="s">
        <v>289</v>
      </c>
      <c r="L397" s="56">
        <f t="shared" si="27"/>
        <v>6044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7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7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7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6044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6044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9496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9496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8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8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8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8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8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8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9">SUM(F413:F418)</f>
        <v>0</v>
      </c>
      <c r="G419" s="139">
        <f t="shared" si="29"/>
        <v>0</v>
      </c>
      <c r="H419" s="139">
        <f t="shared" si="29"/>
        <v>0</v>
      </c>
      <c r="I419" s="139">
        <f t="shared" si="29"/>
        <v>0</v>
      </c>
      <c r="J419" s="139">
        <f t="shared" si="29"/>
        <v>0</v>
      </c>
      <c r="K419" s="139">
        <f t="shared" si="29"/>
        <v>0</v>
      </c>
      <c r="L419" s="47">
        <f t="shared" si="29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30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30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30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30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30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30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1">SUM(F421:F426)</f>
        <v>0</v>
      </c>
      <c r="G427" s="47">
        <f t="shared" si="31"/>
        <v>0</v>
      </c>
      <c r="H427" s="47">
        <f t="shared" si="31"/>
        <v>0</v>
      </c>
      <c r="I427" s="47">
        <f t="shared" si="31"/>
        <v>0</v>
      </c>
      <c r="J427" s="47">
        <f t="shared" si="31"/>
        <v>0</v>
      </c>
      <c r="K427" s="47">
        <f t="shared" si="31"/>
        <v>0</v>
      </c>
      <c r="L427" s="47">
        <f t="shared" si="31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2">SUM(F429:F432)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3">F419+F427+F433</f>
        <v>0</v>
      </c>
      <c r="G434" s="47">
        <f t="shared" si="33"/>
        <v>0</v>
      </c>
      <c r="H434" s="47">
        <f t="shared" si="33"/>
        <v>0</v>
      </c>
      <c r="I434" s="47">
        <f t="shared" si="33"/>
        <v>0</v>
      </c>
      <c r="J434" s="47">
        <f t="shared" si="33"/>
        <v>0</v>
      </c>
      <c r="K434" s="47">
        <f t="shared" si="33"/>
        <v>0</v>
      </c>
      <c r="L434" s="47">
        <f t="shared" si="33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4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4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4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f>153488</f>
        <v>153488</v>
      </c>
      <c r="G442" s="18">
        <v>395467</v>
      </c>
      <c r="H442" s="18"/>
      <c r="I442" s="56">
        <f t="shared" si="34"/>
        <v>548955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4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4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4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153488</v>
      </c>
      <c r="G446" s="13">
        <f>SUM(G439:G445)</f>
        <v>395467</v>
      </c>
      <c r="H446" s="13">
        <f>SUM(H439:H445)</f>
        <v>0</v>
      </c>
      <c r="I446" s="13">
        <f>SUM(I439:I445)</f>
        <v>548955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5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5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5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5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5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153488</v>
      </c>
      <c r="G459" s="18">
        <v>395467</v>
      </c>
      <c r="H459" s="18"/>
      <c r="I459" s="56">
        <f t="shared" si="35"/>
        <v>548955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153488</v>
      </c>
      <c r="G460" s="83">
        <f>SUM(G454:G459)</f>
        <v>395467</v>
      </c>
      <c r="H460" s="83">
        <f>SUM(H454:H459)</f>
        <v>0</v>
      </c>
      <c r="I460" s="83">
        <f>SUM(I454:I459)</f>
        <v>548955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153488</v>
      </c>
      <c r="G461" s="42">
        <f>G452+G460</f>
        <v>395467</v>
      </c>
      <c r="H461" s="42">
        <f>H452+H460</f>
        <v>0</v>
      </c>
      <c r="I461" s="42">
        <f>I452+I460</f>
        <v>548955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1114167</v>
      </c>
      <c r="G465" s="18">
        <v>0</v>
      </c>
      <c r="H465" s="18">
        <v>17226</v>
      </c>
      <c r="I465" s="18">
        <v>66067</v>
      </c>
      <c r="J465" s="18">
        <v>539459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35243218</v>
      </c>
      <c r="G468" s="18">
        <f t="shared" ref="G468:J468" si="36">G193</f>
        <v>1137016</v>
      </c>
      <c r="H468" s="18">
        <f t="shared" si="36"/>
        <v>1500959</v>
      </c>
      <c r="I468" s="18">
        <f t="shared" si="36"/>
        <v>24</v>
      </c>
      <c r="J468" s="18">
        <f t="shared" si="36"/>
        <v>9496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29031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35272249</v>
      </c>
      <c r="G470" s="53">
        <f>SUM(G468:G469)</f>
        <v>1137016</v>
      </c>
      <c r="H470" s="53">
        <f>SUM(H468:H469)</f>
        <v>1500959</v>
      </c>
      <c r="I470" s="53">
        <f>SUM(I468:I469)</f>
        <v>24</v>
      </c>
      <c r="J470" s="53">
        <f>SUM(J468:J469)</f>
        <v>9496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35183659</v>
      </c>
      <c r="G472" s="18">
        <f>L362</f>
        <v>1107985</v>
      </c>
      <c r="H472" s="18">
        <f>L352</f>
        <v>1500956</v>
      </c>
      <c r="I472" s="18">
        <f>L382</f>
        <v>145114</v>
      </c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29031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35183659</v>
      </c>
      <c r="G474" s="53">
        <f>SUM(G472:G473)</f>
        <v>1137016</v>
      </c>
      <c r="H474" s="53">
        <f>SUM(H472:H473)</f>
        <v>1500956</v>
      </c>
      <c r="I474" s="53">
        <f>SUM(I472:I473)</f>
        <v>145114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1202757</v>
      </c>
      <c r="G476" s="53">
        <f>(G465+G470)- G474</f>
        <v>0</v>
      </c>
      <c r="H476" s="53">
        <f>(H465+H470)- H474</f>
        <v>17229</v>
      </c>
      <c r="I476" s="53">
        <f>(I465+I470)- I474</f>
        <v>-79023</v>
      </c>
      <c r="J476" s="53">
        <f>(J465+J470)- J474</f>
        <v>548955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275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2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274" t="s">
        <v>912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19836029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1960000</v>
      </c>
      <c r="G495" s="18"/>
      <c r="H495" s="18"/>
      <c r="I495" s="18"/>
      <c r="J495" s="18"/>
      <c r="K495" s="53">
        <f>SUM(F495:J495)</f>
        <v>1960000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7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1980000</v>
      </c>
      <c r="G497" s="18"/>
      <c r="H497" s="18"/>
      <c r="I497" s="18"/>
      <c r="J497" s="18"/>
      <c r="K497" s="53">
        <f t="shared" si="37"/>
        <v>1980000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1980000</v>
      </c>
      <c r="G498" s="204"/>
      <c r="H498" s="204"/>
      <c r="I498" s="204"/>
      <c r="J498" s="204"/>
      <c r="K498" s="205">
        <f t="shared" si="37"/>
        <v>1980000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34650</v>
      </c>
      <c r="G499" s="18"/>
      <c r="H499" s="18"/>
      <c r="I499" s="18"/>
      <c r="J499" s="18"/>
      <c r="K499" s="53">
        <f t="shared" si="37"/>
        <v>34650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2014650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7"/>
        <v>2014650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1980000</v>
      </c>
      <c r="G501" s="204"/>
      <c r="H501" s="204"/>
      <c r="I501" s="204"/>
      <c r="J501" s="204"/>
      <c r="K501" s="205">
        <f t="shared" si="37"/>
        <v>1980000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34650</v>
      </c>
      <c r="G502" s="18"/>
      <c r="H502" s="18"/>
      <c r="I502" s="18"/>
      <c r="J502" s="18"/>
      <c r="K502" s="53">
        <f t="shared" si="37"/>
        <v>34650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2014650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7"/>
        <v>2014650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1987660+51475</f>
        <v>2039135</v>
      </c>
      <c r="G521" s="18">
        <v>785733</v>
      </c>
      <c r="H521" s="18">
        <f>272980+71001</f>
        <v>343981</v>
      </c>
      <c r="I521" s="18">
        <f>5971+22701</f>
        <v>28672</v>
      </c>
      <c r="J521" s="18">
        <v>16008</v>
      </c>
      <c r="K521" s="18"/>
      <c r="L521" s="88">
        <f>SUM(F521:K521)</f>
        <v>3213529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792877+29720</f>
        <v>822597</v>
      </c>
      <c r="G522" s="18">
        <v>453653</v>
      </c>
      <c r="H522" s="18">
        <f>89953+40993</f>
        <v>130946</v>
      </c>
      <c r="I522" s="18">
        <f>4258+13106</f>
        <v>17364</v>
      </c>
      <c r="J522" s="18">
        <f>538+9242</f>
        <v>9780</v>
      </c>
      <c r="K522" s="18"/>
      <c r="L522" s="88">
        <f>SUM(F522:K522)</f>
        <v>1434340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979601+41138</f>
        <v>1020739</v>
      </c>
      <c r="G523" s="18">
        <v>627942</v>
      </c>
      <c r="H523" s="18">
        <f>512794+56742</f>
        <v>569536</v>
      </c>
      <c r="I523" s="18">
        <f>2655+18142</f>
        <v>20797</v>
      </c>
      <c r="J523" s="18">
        <v>12793</v>
      </c>
      <c r="K523" s="18"/>
      <c r="L523" s="88">
        <f>SUM(F523:K523)</f>
        <v>2251807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3882471</v>
      </c>
      <c r="G524" s="108">
        <f t="shared" ref="G524:L524" si="38">SUM(G521:G523)</f>
        <v>1867328</v>
      </c>
      <c r="H524" s="108">
        <f t="shared" si="38"/>
        <v>1044463</v>
      </c>
      <c r="I524" s="108">
        <f t="shared" si="38"/>
        <v>66833</v>
      </c>
      <c r="J524" s="108">
        <f t="shared" si="38"/>
        <v>38581</v>
      </c>
      <c r="K524" s="108">
        <f t="shared" si="38"/>
        <v>0</v>
      </c>
      <c r="L524" s="89">
        <f t="shared" si="38"/>
        <v>6899676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72993+306064</f>
        <v>379057</v>
      </c>
      <c r="G526" s="18">
        <v>156738</v>
      </c>
      <c r="H526" s="18">
        <f>224610</f>
        <v>224610</v>
      </c>
      <c r="I526" s="18">
        <v>286</v>
      </c>
      <c r="J526" s="18"/>
      <c r="K526" s="18"/>
      <c r="L526" s="88">
        <f>SUM(F526:K526)</f>
        <v>760691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25097+176710</f>
        <v>201807</v>
      </c>
      <c r="G527" s="18">
        <v>90494</v>
      </c>
      <c r="H527" s="18">
        <f>104968</f>
        <v>104968</v>
      </c>
      <c r="I527" s="18">
        <v>165</v>
      </c>
      <c r="J527" s="18"/>
      <c r="K527" s="18"/>
      <c r="L527" s="88">
        <f>SUM(F527:K527)</f>
        <v>397434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244600</v>
      </c>
      <c r="G528" s="18">
        <v>125262</v>
      </c>
      <c r="H528" s="18">
        <f>135287</f>
        <v>135287</v>
      </c>
      <c r="I528" s="18">
        <v>229</v>
      </c>
      <c r="J528" s="18"/>
      <c r="K528" s="18"/>
      <c r="L528" s="88">
        <f>SUM(F528:K528)</f>
        <v>505378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825464</v>
      </c>
      <c r="G529" s="89">
        <f t="shared" ref="G529:L529" si="39">SUM(G526:G528)</f>
        <v>372494</v>
      </c>
      <c r="H529" s="89">
        <f t="shared" si="39"/>
        <v>464865</v>
      </c>
      <c r="I529" s="89">
        <f t="shared" si="39"/>
        <v>680</v>
      </c>
      <c r="J529" s="89">
        <f t="shared" si="39"/>
        <v>0</v>
      </c>
      <c r="K529" s="89">
        <f t="shared" si="39"/>
        <v>0</v>
      </c>
      <c r="L529" s="89">
        <f t="shared" si="39"/>
        <v>1663503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123954</f>
        <v>123954</v>
      </c>
      <c r="G531" s="18">
        <v>75456</v>
      </c>
      <c r="H531" s="18">
        <f>23927+1226</f>
        <v>25153</v>
      </c>
      <c r="I531" s="18">
        <f>188</f>
        <v>188</v>
      </c>
      <c r="J531" s="18">
        <v>1396</v>
      </c>
      <c r="K531" s="18">
        <v>604</v>
      </c>
      <c r="L531" s="88">
        <f>SUM(F531:K531)</f>
        <v>226751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52333+71567</f>
        <v>123900</v>
      </c>
      <c r="G532" s="18">
        <v>43566</v>
      </c>
      <c r="H532" s="18">
        <f>9670+708</f>
        <v>10378</v>
      </c>
      <c r="I532" s="18">
        <v>0</v>
      </c>
      <c r="J532" s="18">
        <v>806</v>
      </c>
      <c r="K532" s="18">
        <v>349</v>
      </c>
      <c r="L532" s="88">
        <f>SUM(F532:K532)</f>
        <v>178999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52231+99062</f>
        <v>151293</v>
      </c>
      <c r="G533" s="18">
        <v>60303</v>
      </c>
      <c r="H533" s="18">
        <f>22152+980</f>
        <v>23132</v>
      </c>
      <c r="I533" s="18">
        <v>0</v>
      </c>
      <c r="J533" s="18">
        <v>1116</v>
      </c>
      <c r="K533" s="18">
        <v>483</v>
      </c>
      <c r="L533" s="88">
        <f>SUM(F533:K533)</f>
        <v>236327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399147</v>
      </c>
      <c r="G534" s="89">
        <f t="shared" ref="G534:L534" si="40">SUM(G531:G533)</f>
        <v>179325</v>
      </c>
      <c r="H534" s="89">
        <f t="shared" si="40"/>
        <v>58663</v>
      </c>
      <c r="I534" s="89">
        <f t="shared" si="40"/>
        <v>188</v>
      </c>
      <c r="J534" s="89">
        <f t="shared" si="40"/>
        <v>3318</v>
      </c>
      <c r="K534" s="89">
        <f t="shared" si="40"/>
        <v>1436</v>
      </c>
      <c r="L534" s="89">
        <f t="shared" si="40"/>
        <v>642077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19699</v>
      </c>
      <c r="I536" s="18"/>
      <c r="J536" s="18"/>
      <c r="K536" s="18"/>
      <c r="L536" s="88">
        <f>SUM(F536:K536)</f>
        <v>19699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11373</v>
      </c>
      <c r="I537" s="18"/>
      <c r="J537" s="18"/>
      <c r="K537" s="18"/>
      <c r="L537" s="88">
        <f>SUM(F537:K537)</f>
        <v>11373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15743</v>
      </c>
      <c r="I538" s="18"/>
      <c r="J538" s="18"/>
      <c r="K538" s="18"/>
      <c r="L538" s="88">
        <f>SUM(F538:K538)</f>
        <v>15743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46815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46815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83766</v>
      </c>
      <c r="G541" s="18">
        <v>31773</v>
      </c>
      <c r="H541" s="18">
        <v>64496</v>
      </c>
      <c r="I541" s="18"/>
      <c r="J541" s="18"/>
      <c r="K541" s="18"/>
      <c r="L541" s="88">
        <f>SUM(F541:K541)</f>
        <v>180035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48363</v>
      </c>
      <c r="G542" s="18">
        <v>18344</v>
      </c>
      <c r="H542" s="18">
        <v>37237</v>
      </c>
      <c r="I542" s="18"/>
      <c r="J542" s="18"/>
      <c r="K542" s="18"/>
      <c r="L542" s="88">
        <f>SUM(F542:K542)</f>
        <v>103944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66944</v>
      </c>
      <c r="G543" s="18">
        <v>25392</v>
      </c>
      <c r="H543" s="18">
        <v>51544</v>
      </c>
      <c r="I543" s="18"/>
      <c r="J543" s="18"/>
      <c r="K543" s="18"/>
      <c r="L543" s="88">
        <f>SUM(F543:K543)</f>
        <v>143880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199073</v>
      </c>
      <c r="G544" s="193">
        <f t="shared" ref="G544:L544" si="42">SUM(G541:G543)</f>
        <v>75509</v>
      </c>
      <c r="H544" s="193">
        <f t="shared" si="42"/>
        <v>153277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427859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5306155</v>
      </c>
      <c r="G545" s="89">
        <f t="shared" ref="G545:L545" si="43">G524+G529+G534+G539+G544</f>
        <v>2494656</v>
      </c>
      <c r="H545" s="89">
        <f t="shared" si="43"/>
        <v>1768083</v>
      </c>
      <c r="I545" s="89">
        <f t="shared" si="43"/>
        <v>67701</v>
      </c>
      <c r="J545" s="89">
        <f t="shared" si="43"/>
        <v>41899</v>
      </c>
      <c r="K545" s="89">
        <f t="shared" si="43"/>
        <v>1436</v>
      </c>
      <c r="L545" s="89">
        <f t="shared" si="43"/>
        <v>9679930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3213529</v>
      </c>
      <c r="G549" s="87">
        <f>L526</f>
        <v>760691</v>
      </c>
      <c r="H549" s="87">
        <f>L531</f>
        <v>226751</v>
      </c>
      <c r="I549" s="87">
        <f>L536</f>
        <v>19699</v>
      </c>
      <c r="J549" s="87">
        <f>L541</f>
        <v>180035</v>
      </c>
      <c r="K549" s="87">
        <f>SUM(F549:J549)</f>
        <v>4400705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1434340</v>
      </c>
      <c r="G550" s="87">
        <f>L527</f>
        <v>397434</v>
      </c>
      <c r="H550" s="87">
        <f>L532</f>
        <v>178999</v>
      </c>
      <c r="I550" s="87">
        <f>L537</f>
        <v>11373</v>
      </c>
      <c r="J550" s="87">
        <f>L542</f>
        <v>103944</v>
      </c>
      <c r="K550" s="87">
        <f>SUM(F550:J550)</f>
        <v>2126090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2251807</v>
      </c>
      <c r="G551" s="87">
        <f>L528</f>
        <v>505378</v>
      </c>
      <c r="H551" s="87">
        <f>L533</f>
        <v>236327</v>
      </c>
      <c r="I551" s="87">
        <f>L538</f>
        <v>15743</v>
      </c>
      <c r="J551" s="87">
        <f>L543</f>
        <v>143880</v>
      </c>
      <c r="K551" s="87">
        <f>SUM(F551:J551)</f>
        <v>3153135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4">SUM(F549:F551)</f>
        <v>6899676</v>
      </c>
      <c r="G552" s="89">
        <f t="shared" si="44"/>
        <v>1663503</v>
      </c>
      <c r="H552" s="89">
        <f t="shared" si="44"/>
        <v>642077</v>
      </c>
      <c r="I552" s="89">
        <f t="shared" si="44"/>
        <v>46815</v>
      </c>
      <c r="J552" s="89">
        <f t="shared" si="44"/>
        <v>427859</v>
      </c>
      <c r="K552" s="89">
        <f t="shared" si="44"/>
        <v>9679930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7317</f>
        <v>7317</v>
      </c>
      <c r="G562" s="18">
        <f>19202</f>
        <v>19202</v>
      </c>
      <c r="H562" s="18">
        <f>538</f>
        <v>538</v>
      </c>
      <c r="I562" s="18">
        <f>55</f>
        <v>55</v>
      </c>
      <c r="J562" s="18"/>
      <c r="K562" s="18"/>
      <c r="L562" s="88">
        <f>SUM(F562:K562)</f>
        <v>27112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14633</f>
        <v>14633</v>
      </c>
      <c r="G563" s="18">
        <f>11086</f>
        <v>11086</v>
      </c>
      <c r="H563" s="18">
        <f>310</f>
        <v>310</v>
      </c>
      <c r="I563" s="18">
        <f>32</f>
        <v>32</v>
      </c>
      <c r="J563" s="18"/>
      <c r="K563" s="18"/>
      <c r="L563" s="88">
        <f>SUM(F563:K563)</f>
        <v>26061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34845</f>
        <v>34845</v>
      </c>
      <c r="G564" s="18">
        <f>15346</f>
        <v>15346</v>
      </c>
      <c r="H564" s="18">
        <f>430</f>
        <v>430</v>
      </c>
      <c r="I564" s="18">
        <f>44</f>
        <v>44</v>
      </c>
      <c r="J564" s="18"/>
      <c r="K564" s="18"/>
      <c r="L564" s="88">
        <f>SUM(F564:K564)</f>
        <v>50665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6">SUM(F562:F564)</f>
        <v>56795</v>
      </c>
      <c r="G565" s="89">
        <f t="shared" si="46"/>
        <v>45634</v>
      </c>
      <c r="H565" s="89">
        <f t="shared" si="46"/>
        <v>1278</v>
      </c>
      <c r="I565" s="89">
        <f t="shared" si="46"/>
        <v>131</v>
      </c>
      <c r="J565" s="89">
        <f t="shared" si="46"/>
        <v>0</v>
      </c>
      <c r="K565" s="89">
        <f t="shared" si="46"/>
        <v>0</v>
      </c>
      <c r="L565" s="89">
        <f t="shared" si="46"/>
        <v>103838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56795</v>
      </c>
      <c r="G571" s="89">
        <f t="shared" ref="G571:L571" si="48">G560+G565+G570</f>
        <v>45634</v>
      </c>
      <c r="H571" s="89">
        <f t="shared" si="48"/>
        <v>1278</v>
      </c>
      <c r="I571" s="89">
        <f t="shared" si="48"/>
        <v>131</v>
      </c>
      <c r="J571" s="89">
        <f t="shared" si="48"/>
        <v>0</v>
      </c>
      <c r="K571" s="89">
        <f t="shared" si="48"/>
        <v>0</v>
      </c>
      <c r="L571" s="89">
        <f t="shared" si="48"/>
        <v>103838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68278+37234</f>
        <v>105512</v>
      </c>
      <c r="G579" s="18">
        <f>6553+21498</f>
        <v>28051</v>
      </c>
      <c r="H579" s="18">
        <f>37916+29757</f>
        <v>67673</v>
      </c>
      <c r="I579" s="87">
        <f t="shared" si="49"/>
        <v>201236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187842</f>
        <v>187842</v>
      </c>
      <c r="G582" s="18">
        <v>80096</v>
      </c>
      <c r="H582" s="18">
        <v>474147</v>
      </c>
      <c r="I582" s="87">
        <f t="shared" si="49"/>
        <v>742085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123986</v>
      </c>
      <c r="I584" s="87">
        <f t="shared" si="49"/>
        <v>123986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15808+294856</f>
        <v>310664</v>
      </c>
      <c r="I591" s="18">
        <f>170239</f>
        <v>170239</v>
      </c>
      <c r="J591" s="18">
        <f>235643</f>
        <v>235643</v>
      </c>
      <c r="K591" s="104">
        <f t="shared" ref="K591:K597" si="50">SUM(H591:J591)</f>
        <v>716546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180034</v>
      </c>
      <c r="I592" s="18">
        <v>103945</v>
      </c>
      <c r="J592" s="18">
        <v>143880</v>
      </c>
      <c r="K592" s="104">
        <f t="shared" si="50"/>
        <v>427859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468</v>
      </c>
      <c r="I593" s="18">
        <v>270</v>
      </c>
      <c r="J593" s="18">
        <f>8630+374</f>
        <v>9004</v>
      </c>
      <c r="K593" s="104">
        <f t="shared" si="50"/>
        <v>9742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7626</v>
      </c>
      <c r="J594" s="18">
        <v>48597</v>
      </c>
      <c r="K594" s="104">
        <f t="shared" si="50"/>
        <v>56223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1554+52</f>
        <v>1606</v>
      </c>
      <c r="I595" s="18">
        <f>1900+30</f>
        <v>1930</v>
      </c>
      <c r="J595" s="18">
        <f>1216+41</f>
        <v>1257</v>
      </c>
      <c r="K595" s="104">
        <f t="shared" si="50"/>
        <v>4793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259+3238+200797+130245</f>
        <v>334539</v>
      </c>
      <c r="I597" s="18">
        <f>149+1870+115933+75198</f>
        <v>193150</v>
      </c>
      <c r="J597" s="18">
        <f>207+2588+160473+104089</f>
        <v>267357</v>
      </c>
      <c r="K597" s="104">
        <f t="shared" si="50"/>
        <v>795046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827311</v>
      </c>
      <c r="I598" s="108">
        <f>SUM(I591:I597)</f>
        <v>477160</v>
      </c>
      <c r="J598" s="108">
        <f>SUM(J591:J597)</f>
        <v>705738</v>
      </c>
      <c r="K598" s="108">
        <f>SUM(K591:K597)</f>
        <v>2010209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26834+122462+26675+3750+793-1</f>
        <v>180513</v>
      </c>
      <c r="I604" s="18">
        <f>20976+70705+15401+2165+458</f>
        <v>109705</v>
      </c>
      <c r="J604" s="18">
        <f>13338+97869+21318+2997+634-1</f>
        <v>136155</v>
      </c>
      <c r="K604" s="104">
        <f>SUM(H604:J604)</f>
        <v>426373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180513</v>
      </c>
      <c r="I605" s="108">
        <f>SUM(I602:I604)</f>
        <v>109705</v>
      </c>
      <c r="J605" s="108">
        <f>SUM(J602:J604)</f>
        <v>136155</v>
      </c>
      <c r="K605" s="108">
        <f>SUM(K602:K604)</f>
        <v>426373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1">SUM(F611:F613)</f>
        <v>0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3630388</v>
      </c>
      <c r="H617" s="109">
        <f>SUM(F52)</f>
        <v>3630388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96197</v>
      </c>
      <c r="H618" s="109">
        <f>SUM(G52)</f>
        <v>96197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400232</v>
      </c>
      <c r="H619" s="109">
        <f>SUM(H52)</f>
        <v>400232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126769</v>
      </c>
      <c r="H620" s="109">
        <f>SUM(I52)</f>
        <v>126769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548955</v>
      </c>
      <c r="H621" s="109">
        <f>SUM(J52)</f>
        <v>548955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1202757</v>
      </c>
      <c r="H622" s="109">
        <f>F476</f>
        <v>1202757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17229</v>
      </c>
      <c r="H624" s="109">
        <f>H476</f>
        <v>17229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-79023</v>
      </c>
      <c r="H625" s="109">
        <f>I476</f>
        <v>-79023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548955</v>
      </c>
      <c r="H626" s="109">
        <f>J476</f>
        <v>548955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35243218</v>
      </c>
      <c r="H627" s="104">
        <f>SUM(F468)</f>
        <v>35243218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1137016</v>
      </c>
      <c r="H628" s="104">
        <f>SUM(G468)</f>
        <v>1137016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1500959</v>
      </c>
      <c r="H629" s="104">
        <f>SUM(H468)</f>
        <v>1500959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24</v>
      </c>
      <c r="H630" s="104">
        <f>SUM(I468)</f>
        <v>24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9496</v>
      </c>
      <c r="H631" s="104">
        <f>SUM(J468)</f>
        <v>9496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35183659</v>
      </c>
      <c r="H632" s="104">
        <f>SUM(F472)</f>
        <v>35183659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1500956</v>
      </c>
      <c r="H633" s="104">
        <f>SUM(H472)</f>
        <v>1500956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562274</v>
      </c>
      <c r="H634" s="104">
        <f>I369</f>
        <v>562274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1107985</v>
      </c>
      <c r="H635" s="104">
        <f>SUM(G472)</f>
        <v>1107985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145114</v>
      </c>
      <c r="H636" s="104">
        <f>SUM(I472)</f>
        <v>145114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9496</v>
      </c>
      <c r="H637" s="164">
        <f>SUM(J468)</f>
        <v>9496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153488</v>
      </c>
      <c r="H639" s="104">
        <f>SUM(F461)</f>
        <v>153488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395467</v>
      </c>
      <c r="H640" s="104">
        <f>SUM(G461)</f>
        <v>395467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548955</v>
      </c>
      <c r="H642" s="104">
        <f>SUM(I461)</f>
        <v>548955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9496</v>
      </c>
      <c r="H644" s="104">
        <f>H408</f>
        <v>9496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9496</v>
      </c>
      <c r="H646" s="104">
        <f>L408</f>
        <v>9496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2010209</v>
      </c>
      <c r="H647" s="104">
        <f>L208+L226+L244</f>
        <v>2010209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426373</v>
      </c>
      <c r="H648" s="104">
        <f>(J257+J338)-(J255+J336)</f>
        <v>426373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827311</v>
      </c>
      <c r="H649" s="104">
        <f>H598</f>
        <v>827311</v>
      </c>
      <c r="I649" s="140" t="s">
        <v>389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477160</v>
      </c>
      <c r="H650" s="104">
        <f>I598</f>
        <v>477160</v>
      </c>
      <c r="I650" s="140" t="s">
        <v>390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705738</v>
      </c>
      <c r="H651" s="104">
        <f>J598</f>
        <v>705738</v>
      </c>
      <c r="I651" s="140" t="s">
        <v>391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47530</v>
      </c>
      <c r="H652" s="104">
        <f>K263+K345</f>
        <v>47530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15464205</v>
      </c>
      <c r="G660" s="19">
        <f>(L229+L309+L359)</f>
        <v>8332694</v>
      </c>
      <c r="H660" s="19">
        <f>(L247+L328+L360)</f>
        <v>11744380</v>
      </c>
      <c r="I660" s="19">
        <f>SUM(F660:H660)</f>
        <v>35541279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231567.49702477921</v>
      </c>
      <c r="G661" s="19">
        <f>(L359/IF(SUM(L358:L360)=0,1,SUM(L358:L360))*(SUM(G97:G110)))</f>
        <v>140985.64179027695</v>
      </c>
      <c r="H661" s="19">
        <f>(L360/IF(SUM(L358:L360)=0,1,SUM(L358:L360))*(SUM(G97:G110)))</f>
        <v>248537.86118494385</v>
      </c>
      <c r="I661" s="19">
        <f>SUM(F661:H661)</f>
        <v>621091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791831</v>
      </c>
      <c r="G662" s="19">
        <f>(L226+L306)-(J226+J306)</f>
        <v>456675</v>
      </c>
      <c r="H662" s="19">
        <f>(L244+L325)-(J244+J325)</f>
        <v>677383</v>
      </c>
      <c r="I662" s="19">
        <f>SUM(F662:H662)</f>
        <v>1925889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473867</v>
      </c>
      <c r="G663" s="199">
        <f>SUM(G575:G587)+SUM(I602:I604)+L612</f>
        <v>217852</v>
      </c>
      <c r="H663" s="199">
        <f>SUM(H575:H587)+SUM(J602:J604)+L613</f>
        <v>801961</v>
      </c>
      <c r="I663" s="19">
        <f>SUM(F663:H663)</f>
        <v>1493680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13966939.502975222</v>
      </c>
      <c r="G664" s="19">
        <f>G660-SUM(G661:G663)</f>
        <v>7517181.3582097227</v>
      </c>
      <c r="H664" s="19">
        <f>H660-SUM(H661:H663)</f>
        <v>10016498.138815057</v>
      </c>
      <c r="I664" s="19">
        <f>I660-SUM(I661:I663)</f>
        <v>31500619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1052.44</v>
      </c>
      <c r="G665" s="248">
        <v>607.64</v>
      </c>
      <c r="H665" s="248">
        <v>841.09</v>
      </c>
      <c r="I665" s="19">
        <f>SUM(F665:H665)</f>
        <v>2501.17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13271.01</v>
      </c>
      <c r="G667" s="19">
        <f>ROUND(G664/G665,2)</f>
        <v>12371.11</v>
      </c>
      <c r="H667" s="19">
        <f>ROUND(H664/H665,2)</f>
        <v>11908.95</v>
      </c>
      <c r="I667" s="19">
        <f>ROUND(I664/I665,2)</f>
        <v>12594.35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-27.66</v>
      </c>
      <c r="I670" s="19">
        <f>SUM(F670:H670)</f>
        <v>-27.66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13271.01</v>
      </c>
      <c r="G672" s="19">
        <f>ROUND((G664+G669)/(G665+G670),2)</f>
        <v>12371.11</v>
      </c>
      <c r="H672" s="19">
        <f>ROUND((H664+H669)/(H665+H670),2)</f>
        <v>12313.9</v>
      </c>
      <c r="I672" s="19">
        <f>ROUND((I664+I669)/(I665+I670),2)</f>
        <v>12735.19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E21" sqref="E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Valley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8612321</v>
      </c>
      <c r="C9" s="229">
        <f>'DOE25'!G197+'DOE25'!G215+'DOE25'!G233+'DOE25'!G276+'DOE25'!G295+'DOE25'!G314</f>
        <v>3759149</v>
      </c>
    </row>
    <row r="10" spans="1:3" x14ac:dyDescent="0.2">
      <c r="A10" t="s">
        <v>779</v>
      </c>
      <c r="B10" s="240">
        <v>8115167</v>
      </c>
      <c r="C10" s="240">
        <v>3533600</v>
      </c>
    </row>
    <row r="11" spans="1:3" x14ac:dyDescent="0.2">
      <c r="A11" t="s">
        <v>780</v>
      </c>
      <c r="B11" s="240">
        <v>273009</v>
      </c>
      <c r="C11" s="240">
        <v>225549</v>
      </c>
    </row>
    <row r="12" spans="1:3" x14ac:dyDescent="0.2">
      <c r="A12" t="s">
        <v>781</v>
      </c>
      <c r="B12" s="240">
        <v>224145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8612321</v>
      </c>
      <c r="C13" s="231">
        <f>SUM(C10:C12)</f>
        <v>3759149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3882466</v>
      </c>
      <c r="C18" s="229">
        <f>'DOE25'!G198+'DOE25'!G216+'DOE25'!G234+'DOE25'!G277+'DOE25'!G296+'DOE25'!G315</f>
        <v>1867326</v>
      </c>
    </row>
    <row r="19" spans="1:3" x14ac:dyDescent="0.2">
      <c r="A19" t="s">
        <v>779</v>
      </c>
      <c r="B19" s="240">
        <v>2057706</v>
      </c>
      <c r="C19" s="240">
        <v>989682</v>
      </c>
    </row>
    <row r="20" spans="1:3" x14ac:dyDescent="0.2">
      <c r="A20" t="s">
        <v>780</v>
      </c>
      <c r="B20" s="240">
        <v>1824760</v>
      </c>
      <c r="C20" s="240">
        <v>877644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3882466</v>
      </c>
      <c r="C22" s="231">
        <f>SUM(C19:C21)</f>
        <v>1867326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349914</v>
      </c>
      <c r="C36" s="235">
        <f>'DOE25'!G200+'DOE25'!G218+'DOE25'!G236+'DOE25'!G279+'DOE25'!G298+'DOE25'!G317</f>
        <v>74771</v>
      </c>
    </row>
    <row r="37" spans="1:3" x14ac:dyDescent="0.2">
      <c r="A37" t="s">
        <v>779</v>
      </c>
      <c r="B37" s="240">
        <v>118970</v>
      </c>
      <c r="C37" s="240">
        <v>25422</v>
      </c>
    </row>
    <row r="38" spans="1:3" x14ac:dyDescent="0.2">
      <c r="A38" t="s">
        <v>780</v>
      </c>
      <c r="B38" s="240">
        <v>230944</v>
      </c>
      <c r="C38" s="240">
        <v>49349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349914</v>
      </c>
      <c r="C40" s="231">
        <f>SUM(C37:C39)</f>
        <v>74771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Merrimack Valley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19467793</v>
      </c>
      <c r="D5" s="20">
        <f>SUM('DOE25'!L197:L200)+SUM('DOE25'!L215:L218)+SUM('DOE25'!L233:L236)-F5-G5</f>
        <v>19402345</v>
      </c>
      <c r="E5" s="243"/>
      <c r="F5" s="255">
        <f>SUM('DOE25'!J197:J200)+SUM('DOE25'!J215:J218)+SUM('DOE25'!J233:J236)</f>
        <v>60043</v>
      </c>
      <c r="G5" s="53">
        <f>SUM('DOE25'!K197:K200)+SUM('DOE25'!K215:K218)+SUM('DOE25'!K233:K236)</f>
        <v>5405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4065552</v>
      </c>
      <c r="D6" s="20">
        <f>'DOE25'!L202+'DOE25'!L220+'DOE25'!L238-F6-G6</f>
        <v>4060399</v>
      </c>
      <c r="E6" s="243"/>
      <c r="F6" s="255">
        <f>'DOE25'!J202+'DOE25'!J220+'DOE25'!J238</f>
        <v>3617</v>
      </c>
      <c r="G6" s="53">
        <f>'DOE25'!K202+'DOE25'!K220+'DOE25'!K238</f>
        <v>1536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1202977</v>
      </c>
      <c r="D7" s="20">
        <f>'DOE25'!L203+'DOE25'!L221+'DOE25'!L239-F7-G7</f>
        <v>1118296</v>
      </c>
      <c r="E7" s="243"/>
      <c r="F7" s="255">
        <f>'DOE25'!J203+'DOE25'!J221+'DOE25'!J239</f>
        <v>84653</v>
      </c>
      <c r="G7" s="53">
        <f>'DOE25'!K203+'DOE25'!K221+'DOE25'!K239</f>
        <v>28</v>
      </c>
      <c r="H7" s="259"/>
    </row>
    <row r="8" spans="1:9" x14ac:dyDescent="0.2">
      <c r="A8" s="32">
        <v>2300</v>
      </c>
      <c r="B8" t="s">
        <v>802</v>
      </c>
      <c r="C8" s="245">
        <f t="shared" si="0"/>
        <v>414261.67000000004</v>
      </c>
      <c r="D8" s="243"/>
      <c r="E8" s="20">
        <f>'DOE25'!L204+'DOE25'!L222+'DOE25'!L240-F8-G8-D9-D11</f>
        <v>408679.67000000004</v>
      </c>
      <c r="F8" s="255">
        <f>'DOE25'!J204+'DOE25'!J222+'DOE25'!J240</f>
        <v>0</v>
      </c>
      <c r="G8" s="53">
        <f>'DOE25'!K204+'DOE25'!K222+'DOE25'!K240</f>
        <v>5582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225502.33</v>
      </c>
      <c r="D9" s="244">
        <v>225502.33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29812.32</v>
      </c>
      <c r="D10" s="243"/>
      <c r="E10" s="244">
        <v>29812.32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269355</v>
      </c>
      <c r="D11" s="244">
        <v>269355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1827825</v>
      </c>
      <c r="D12" s="20">
        <f>'DOE25'!L205+'DOE25'!L223+'DOE25'!L241-F12-G12</f>
        <v>1754351</v>
      </c>
      <c r="E12" s="243"/>
      <c r="F12" s="255">
        <f>'DOE25'!J205+'DOE25'!J223+'DOE25'!J241</f>
        <v>52483</v>
      </c>
      <c r="G12" s="53">
        <f>'DOE25'!K205+'DOE25'!K223+'DOE25'!K241</f>
        <v>20991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4500</v>
      </c>
      <c r="D13" s="243"/>
      <c r="E13" s="20">
        <f>'DOE25'!L206+'DOE25'!L224+'DOE25'!L242-F13-G13</f>
        <v>4500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3479322</v>
      </c>
      <c r="D14" s="20">
        <f>'DOE25'!L207+'DOE25'!L225+'DOE25'!L243-F14-G14</f>
        <v>3423690</v>
      </c>
      <c r="E14" s="243"/>
      <c r="F14" s="255">
        <f>'DOE25'!J207+'DOE25'!J225+'DOE25'!J243</f>
        <v>55632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2010209</v>
      </c>
      <c r="D15" s="20">
        <f>'DOE25'!L208+'DOE25'!L226+'DOE25'!L244-F15-G15</f>
        <v>1913839</v>
      </c>
      <c r="E15" s="243"/>
      <c r="F15" s="255">
        <f>'DOE25'!J208+'DOE25'!J226+'DOE25'!J244</f>
        <v>95755</v>
      </c>
      <c r="G15" s="53">
        <f>'DOE25'!K208+'DOE25'!K226+'DOE25'!K244</f>
        <v>615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96602</v>
      </c>
      <c r="D22" s="243"/>
      <c r="E22" s="243"/>
      <c r="F22" s="255">
        <f>'DOE25'!L255+'DOE25'!L336</f>
        <v>96602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2081970</v>
      </c>
      <c r="D25" s="243"/>
      <c r="E25" s="243"/>
      <c r="F25" s="258"/>
      <c r="G25" s="256"/>
      <c r="H25" s="257">
        <f>'DOE25'!L260+'DOE25'!L261+'DOE25'!L341+'DOE25'!L342</f>
        <v>2081970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578802</v>
      </c>
      <c r="D29" s="20">
        <f>'DOE25'!L358+'DOE25'!L359+'DOE25'!L360-'DOE25'!I367-F29-G29</f>
        <v>578802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1491216</v>
      </c>
      <c r="D31" s="20">
        <f>'DOE25'!L290+'DOE25'!L309+'DOE25'!L328+'DOE25'!L333+'DOE25'!L334+'DOE25'!L335-F31-G31</f>
        <v>1389682</v>
      </c>
      <c r="E31" s="243"/>
      <c r="F31" s="255">
        <f>'DOE25'!J290+'DOE25'!J309+'DOE25'!J328+'DOE25'!J333+'DOE25'!J334+'DOE25'!J335</f>
        <v>74190</v>
      </c>
      <c r="G31" s="53">
        <f>'DOE25'!K290+'DOE25'!K309+'DOE25'!K328+'DOE25'!K333+'DOE25'!K334+'DOE25'!K335</f>
        <v>27344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34136261.329999998</v>
      </c>
      <c r="E33" s="246">
        <f>SUM(E5:E31)</f>
        <v>442991.99000000005</v>
      </c>
      <c r="F33" s="246">
        <f>SUM(F5:F31)</f>
        <v>522975</v>
      </c>
      <c r="G33" s="246">
        <f>SUM(G5:G31)</f>
        <v>61501</v>
      </c>
      <c r="H33" s="246">
        <f>SUM(H5:H31)</f>
        <v>2081970</v>
      </c>
    </row>
    <row r="35" spans="2:8" ht="12" thickBot="1" x14ac:dyDescent="0.25">
      <c r="B35" s="253" t="s">
        <v>847</v>
      </c>
      <c r="D35" s="254">
        <f>E33</f>
        <v>442991.99000000005</v>
      </c>
      <c r="E35" s="249"/>
    </row>
    <row r="36" spans="2:8" ht="12" thickTop="1" x14ac:dyDescent="0.2">
      <c r="B36" t="s">
        <v>815</v>
      </c>
      <c r="D36" s="20">
        <f>D33</f>
        <v>34136261.329999998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3594168</v>
      </c>
      <c r="D8" s="95">
        <f>'DOE25'!G9</f>
        <v>25050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34502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71576</v>
      </c>
      <c r="F11" s="95">
        <f>'DOE25'!I12</f>
        <v>126769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38506</v>
      </c>
      <c r="E12" s="95">
        <f>'DOE25'!H13</f>
        <v>259915</v>
      </c>
      <c r="F12" s="95">
        <f>'DOE25'!I13</f>
        <v>0</v>
      </c>
      <c r="G12" s="95">
        <f>'DOE25'!J13</f>
        <v>548955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1718</v>
      </c>
      <c r="D13" s="95">
        <f>'DOE25'!G14</f>
        <v>7163</v>
      </c>
      <c r="E13" s="95">
        <f>'DOE25'!H14</f>
        <v>68741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25478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3630388</v>
      </c>
      <c r="D18" s="41">
        <f>SUM(D8:D17)</f>
        <v>96197</v>
      </c>
      <c r="E18" s="41">
        <f>SUM(E8:E17)</f>
        <v>400232</v>
      </c>
      <c r="F18" s="41">
        <f>SUM(F8:F17)</f>
        <v>126769</v>
      </c>
      <c r="G18" s="41">
        <f>SUM(G8:G17)</f>
        <v>548955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135</v>
      </c>
      <c r="D21" s="95">
        <f>'DOE25'!G22</f>
        <v>23407</v>
      </c>
      <c r="E21" s="95">
        <f>'DOE25'!H22</f>
        <v>214829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97477</v>
      </c>
      <c r="D23" s="95">
        <f>'DOE25'!G24</f>
        <v>28156</v>
      </c>
      <c r="E23" s="95">
        <f>'DOE25'!H24</f>
        <v>18663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2330182</v>
      </c>
      <c r="D27" s="95">
        <f>'DOE25'!G28</f>
        <v>44634</v>
      </c>
      <c r="E27" s="95">
        <f>'DOE25'!H28</f>
        <v>82757</v>
      </c>
      <c r="F27" s="95">
        <f>'DOE25'!I28</f>
        <v>205792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66754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2427631</v>
      </c>
      <c r="D31" s="41">
        <f>SUM(D21:D30)</f>
        <v>96197</v>
      </c>
      <c r="E31" s="41">
        <f>SUM(E21:E30)</f>
        <v>383003</v>
      </c>
      <c r="F31" s="41">
        <f>SUM(F21:F30)</f>
        <v>205792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25478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-25478</v>
      </c>
      <c r="E47" s="95">
        <f>'DOE25'!H48</f>
        <v>17229</v>
      </c>
      <c r="F47" s="95">
        <f>'DOE25'!I48</f>
        <v>-79023</v>
      </c>
      <c r="G47" s="95">
        <f>'DOE25'!J48</f>
        <v>548955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82000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1120757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1202757</v>
      </c>
      <c r="D50" s="41">
        <f>SUM(D34:D49)</f>
        <v>0</v>
      </c>
      <c r="E50" s="41">
        <f>SUM(E34:E49)</f>
        <v>17229</v>
      </c>
      <c r="F50" s="41">
        <f>SUM(F34:F49)</f>
        <v>-79023</v>
      </c>
      <c r="G50" s="41">
        <f>SUM(G34:G49)</f>
        <v>548955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3630388</v>
      </c>
      <c r="D51" s="41">
        <f>D50+D31</f>
        <v>96197</v>
      </c>
      <c r="E51" s="41">
        <f>E50+E31</f>
        <v>400232</v>
      </c>
      <c r="F51" s="41">
        <f>F50+F31</f>
        <v>126769</v>
      </c>
      <c r="G51" s="41">
        <f>G50+G31</f>
        <v>548955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19048671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872660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</v>
      </c>
      <c r="D59" s="95">
        <f>'DOE25'!G96</f>
        <v>147</v>
      </c>
      <c r="E59" s="95">
        <f>'DOE25'!H96</f>
        <v>0</v>
      </c>
      <c r="F59" s="95">
        <f>'DOE25'!I96</f>
        <v>24</v>
      </c>
      <c r="G59" s="95">
        <f>'DOE25'!J96</f>
        <v>9496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604998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108794</v>
      </c>
      <c r="D61" s="95">
        <f>SUM('DOE25'!G98:G110)</f>
        <v>16093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981463</v>
      </c>
      <c r="D62" s="130">
        <f>SUM(D57:D61)</f>
        <v>621238</v>
      </c>
      <c r="E62" s="130">
        <f>SUM(E57:E61)</f>
        <v>0</v>
      </c>
      <c r="F62" s="130">
        <f>SUM(F57:F61)</f>
        <v>24</v>
      </c>
      <c r="G62" s="130">
        <f>SUM(G57:G61)</f>
        <v>9496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20030134</v>
      </c>
      <c r="D63" s="22">
        <f>D56+D62</f>
        <v>621238</v>
      </c>
      <c r="E63" s="22">
        <f>E56+E62</f>
        <v>0</v>
      </c>
      <c r="F63" s="22">
        <f>F56+F62</f>
        <v>24</v>
      </c>
      <c r="G63" s="22">
        <f>G56+G62</f>
        <v>9496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10055963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3211403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13267366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1347331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190927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18323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14022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1556581</v>
      </c>
      <c r="D78" s="130">
        <f>SUM(D72:D77)</f>
        <v>14022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14823947</v>
      </c>
      <c r="D81" s="130">
        <f>SUM(D79:D80)+D78+D70</f>
        <v>14022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68137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15876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389137</v>
      </c>
      <c r="D88" s="95">
        <f>SUM('DOE25'!G153:G161)</f>
        <v>412542</v>
      </c>
      <c r="E88" s="95">
        <f>SUM('DOE25'!H153:H161)</f>
        <v>1416946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41684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389137</v>
      </c>
      <c r="D91" s="131">
        <f>SUM(D85:D90)</f>
        <v>454226</v>
      </c>
      <c r="E91" s="131">
        <f>SUM(E85:E90)</f>
        <v>1500959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47530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47530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35243218</v>
      </c>
      <c r="D104" s="86">
        <f>D63+D81+D91+D103</f>
        <v>1137016</v>
      </c>
      <c r="E104" s="86">
        <f>E63+E81+E91+E103</f>
        <v>1500959</v>
      </c>
      <c r="F104" s="86">
        <f>F63+F81+F91+F103</f>
        <v>24</v>
      </c>
      <c r="G104" s="86">
        <f>G63+G81+G103</f>
        <v>9496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12798684</v>
      </c>
      <c r="D109" s="24" t="s">
        <v>289</v>
      </c>
      <c r="E109" s="95">
        <f>('DOE25'!L276)+('DOE25'!L295)+('DOE25'!L314)</f>
        <v>62187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6038898</v>
      </c>
      <c r="D110" s="24" t="s">
        <v>289</v>
      </c>
      <c r="E110" s="95">
        <f>('DOE25'!L277)+('DOE25'!L296)+('DOE25'!L315)</f>
        <v>860771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123986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506225</v>
      </c>
      <c r="D112" s="24" t="s">
        <v>289</v>
      </c>
      <c r="E112" s="95">
        <f>+('DOE25'!L279)+('DOE25'!L298)+('DOE25'!L317)</f>
        <v>21075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25219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19467793</v>
      </c>
      <c r="D115" s="86">
        <f>SUM(D109:D114)</f>
        <v>0</v>
      </c>
      <c r="E115" s="86">
        <f>SUM(E109:E114)</f>
        <v>969252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4065552</v>
      </c>
      <c r="D118" s="24" t="s">
        <v>289</v>
      </c>
      <c r="E118" s="95">
        <f>+('DOE25'!L281)+('DOE25'!L300)+('DOE25'!L319)</f>
        <v>187444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1202977</v>
      </c>
      <c r="D119" s="24" t="s">
        <v>289</v>
      </c>
      <c r="E119" s="95">
        <f>+('DOE25'!L282)+('DOE25'!L301)+('DOE25'!L320)</f>
        <v>281621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909119</v>
      </c>
      <c r="D120" s="24" t="s">
        <v>289</v>
      </c>
      <c r="E120" s="95">
        <f>+('DOE25'!L283)+('DOE25'!L302)+('DOE25'!L321)</f>
        <v>13995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1827825</v>
      </c>
      <c r="D121" s="24" t="s">
        <v>289</v>
      </c>
      <c r="E121" s="95">
        <f>+('DOE25'!L284)+('DOE25'!L303)+('DOE25'!L322)</f>
        <v>125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4500</v>
      </c>
      <c r="D122" s="24" t="s">
        <v>289</v>
      </c>
      <c r="E122" s="95">
        <f>+('DOE25'!L285)+('DOE25'!L304)+('DOE25'!L323)</f>
        <v>27204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3479322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2010209</v>
      </c>
      <c r="D124" s="24" t="s">
        <v>289</v>
      </c>
      <c r="E124" s="95">
        <f>+('DOE25'!L287)+('DOE25'!L306)+('DOE25'!L325)</f>
        <v>11435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140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1107985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13499504</v>
      </c>
      <c r="D128" s="86">
        <f>SUM(D118:D127)</f>
        <v>1107985</v>
      </c>
      <c r="E128" s="86">
        <f>SUM(E118:E127)</f>
        <v>521964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86862</v>
      </c>
      <c r="D130" s="24" t="s">
        <v>289</v>
      </c>
      <c r="E130" s="129">
        <f>'DOE25'!L336</f>
        <v>9740</v>
      </c>
      <c r="F130" s="129">
        <f>SUM('DOE25'!L374:'DOE25'!L380)</f>
        <v>145114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101970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47530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3452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6044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-9496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2216362</v>
      </c>
      <c r="D144" s="141">
        <f>SUM(D130:D143)</f>
        <v>0</v>
      </c>
      <c r="E144" s="141">
        <f>SUM(E130:E143)</f>
        <v>9740</v>
      </c>
      <c r="F144" s="141">
        <f>SUM(F130:F143)</f>
        <v>145114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35183659</v>
      </c>
      <c r="D145" s="86">
        <f>(D115+D128+D144)</f>
        <v>1107985</v>
      </c>
      <c r="E145" s="86">
        <f>(E115+E128+E144)</f>
        <v>1500956</v>
      </c>
      <c r="F145" s="86">
        <f>(F115+F128+F144)</f>
        <v>145114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10/14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19836029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1980000</v>
      </c>
    </row>
    <row r="159" spans="1:9" x14ac:dyDescent="0.2">
      <c r="A159" s="22" t="s">
        <v>35</v>
      </c>
      <c r="B159" s="137">
        <f>'DOE25'!F498</f>
        <v>1980000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1980000</v>
      </c>
    </row>
    <row r="160" spans="1:9" x14ac:dyDescent="0.2">
      <c r="A160" s="22" t="s">
        <v>36</v>
      </c>
      <c r="B160" s="137">
        <f>'DOE25'!F499</f>
        <v>34650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34650</v>
      </c>
    </row>
    <row r="161" spans="1:7" x14ac:dyDescent="0.2">
      <c r="A161" s="22" t="s">
        <v>37</v>
      </c>
      <c r="B161" s="137">
        <f>'DOE25'!F500</f>
        <v>2014650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2014650</v>
      </c>
    </row>
    <row r="162" spans="1:7" x14ac:dyDescent="0.2">
      <c r="A162" s="22" t="s">
        <v>38</v>
      </c>
      <c r="B162" s="137">
        <f>'DOE25'!F501</f>
        <v>1980000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1980000</v>
      </c>
    </row>
    <row r="163" spans="1:7" x14ac:dyDescent="0.2">
      <c r="A163" s="22" t="s">
        <v>39</v>
      </c>
      <c r="B163" s="137">
        <f>'DOE25'!F502</f>
        <v>34650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34650</v>
      </c>
    </row>
    <row r="164" spans="1:7" x14ac:dyDescent="0.2">
      <c r="A164" s="22" t="s">
        <v>246</v>
      </c>
      <c r="B164" s="137">
        <f>'DOE25'!F503</f>
        <v>2014650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2014650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Merrimack Valley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13271</v>
      </c>
    </row>
    <row r="5" spans="1:4" x14ac:dyDescent="0.2">
      <c r="B5" t="s">
        <v>704</v>
      </c>
      <c r="C5" s="179">
        <f>IF('DOE25'!G665+'DOE25'!G670=0,0,ROUND('DOE25'!G672,0))</f>
        <v>12371</v>
      </c>
    </row>
    <row r="6" spans="1:4" x14ac:dyDescent="0.2">
      <c r="B6" t="s">
        <v>62</v>
      </c>
      <c r="C6" s="179">
        <f>IF('DOE25'!H665+'DOE25'!H670=0,0,ROUND('DOE25'!H672,0))</f>
        <v>12314</v>
      </c>
    </row>
    <row r="7" spans="1:4" x14ac:dyDescent="0.2">
      <c r="B7" t="s">
        <v>705</v>
      </c>
      <c r="C7" s="179">
        <f>IF('DOE25'!I665+'DOE25'!I670=0,0,ROUND('DOE25'!I672,0))</f>
        <v>12735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12860871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6899669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123986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527300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4252996</v>
      </c>
      <c r="D15" s="182">
        <f t="shared" ref="D15:D27" si="0">ROUND((C15/$C$28)*100,1)</f>
        <v>12.1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1484598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923254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1827950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31704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3479322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2021644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25219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101970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486894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35047377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241716</v>
      </c>
    </row>
    <row r="30" spans="1:4" x14ac:dyDescent="0.2">
      <c r="B30" s="187" t="s">
        <v>729</v>
      </c>
      <c r="C30" s="180">
        <f>SUM(C28:C29)</f>
        <v>35289093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1980000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19048671</v>
      </c>
      <c r="D35" s="182">
        <f t="shared" ref="D35:D40" si="1">ROUND((C35/$C$41)*100,1)</f>
        <v>51.2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991130</v>
      </c>
      <c r="D36" s="182">
        <f t="shared" si="1"/>
        <v>2.7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13267366</v>
      </c>
      <c r="D37" s="182">
        <f t="shared" si="1"/>
        <v>35.6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1570603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2344322</v>
      </c>
      <c r="D39" s="182">
        <f t="shared" si="1"/>
        <v>6.3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37222092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3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Merrimack Valley Regional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2014-10-07T15:56:47Z</cp:lastPrinted>
  <dcterms:created xsi:type="dcterms:W3CDTF">1997-12-04T19:04:30Z</dcterms:created>
  <dcterms:modified xsi:type="dcterms:W3CDTF">2014-12-05T16:33:11Z</dcterms:modified>
</cp:coreProperties>
</file>