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-15" yWindow="6330" windowWidth="12720" windowHeight="634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E10" i="13" l="1"/>
  <c r="H604" i="1"/>
  <c r="J591" i="1"/>
  <c r="I591" i="1"/>
  <c r="H528" i="1"/>
  <c r="H523" i="1"/>
  <c r="H527" i="1"/>
  <c r="H526" i="1"/>
  <c r="H541" i="1"/>
  <c r="I507" i="1"/>
  <c r="F499" i="1"/>
  <c r="F498" i="1"/>
  <c r="J468" i="1"/>
  <c r="G459" i="1"/>
  <c r="F29" i="1" l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C112" i="2" s="1"/>
  <c r="F6" i="13"/>
  <c r="G6" i="13"/>
  <c r="L202" i="1"/>
  <c r="L220" i="1"/>
  <c r="L238" i="1"/>
  <c r="F7" i="13"/>
  <c r="G7" i="13"/>
  <c r="L203" i="1"/>
  <c r="L221" i="1"/>
  <c r="L239" i="1"/>
  <c r="D7" i="13" s="1"/>
  <c r="C7" i="13" s="1"/>
  <c r="F12" i="13"/>
  <c r="G12" i="13"/>
  <c r="L205" i="1"/>
  <c r="C18" i="10" s="1"/>
  <c r="L223" i="1"/>
  <c r="L241" i="1"/>
  <c r="F14" i="13"/>
  <c r="G14" i="13"/>
  <c r="L207" i="1"/>
  <c r="C123" i="2" s="1"/>
  <c r="L225" i="1"/>
  <c r="L243" i="1"/>
  <c r="F15" i="13"/>
  <c r="G15" i="13"/>
  <c r="L208" i="1"/>
  <c r="L226" i="1"/>
  <c r="C21" i="10" s="1"/>
  <c r="L244" i="1"/>
  <c r="F17" i="13"/>
  <c r="G17" i="13"/>
  <c r="L251" i="1"/>
  <c r="F18" i="13"/>
  <c r="G18" i="13"/>
  <c r="L252" i="1"/>
  <c r="F19" i="13"/>
  <c r="G19" i="13"/>
  <c r="L253" i="1"/>
  <c r="D19" i="13" s="1"/>
  <c r="C19" i="13" s="1"/>
  <c r="F29" i="13"/>
  <c r="G29" i="13"/>
  <c r="L358" i="1"/>
  <c r="F661" i="1" s="1"/>
  <c r="L359" i="1"/>
  <c r="L360" i="1"/>
  <c r="I367" i="1"/>
  <c r="D29" i="13" s="1"/>
  <c r="C29" i="13" s="1"/>
  <c r="J290" i="1"/>
  <c r="J309" i="1"/>
  <c r="J328" i="1"/>
  <c r="K290" i="1"/>
  <c r="K309" i="1"/>
  <c r="K328" i="1"/>
  <c r="L276" i="1"/>
  <c r="L277" i="1"/>
  <c r="E110" i="2" s="1"/>
  <c r="L278" i="1"/>
  <c r="L279" i="1"/>
  <c r="L281" i="1"/>
  <c r="E118" i="2" s="1"/>
  <c r="L282" i="1"/>
  <c r="E119" i="2" s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131" i="2" s="1"/>
  <c r="L261" i="1"/>
  <c r="C25" i="10" s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3" i="1" s="1"/>
  <c r="C138" i="2" s="1"/>
  <c r="L390" i="1"/>
  <c r="L391" i="1"/>
  <c r="L392" i="1"/>
  <c r="L395" i="1"/>
  <c r="L396" i="1"/>
  <c r="L397" i="1"/>
  <c r="L398" i="1"/>
  <c r="L399" i="1"/>
  <c r="L401" i="1" s="1"/>
  <c r="C139" i="2" s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F112" i="1" s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1" i="10"/>
  <c r="C12" i="10"/>
  <c r="C13" i="10"/>
  <c r="C19" i="10"/>
  <c r="L250" i="1"/>
  <c r="C113" i="2" s="1"/>
  <c r="L332" i="1"/>
  <c r="L254" i="1"/>
  <c r="L268" i="1"/>
  <c r="L269" i="1"/>
  <c r="L349" i="1"/>
  <c r="L350" i="1"/>
  <c r="C26" i="10" s="1"/>
  <c r="I665" i="1"/>
  <c r="I670" i="1"/>
  <c r="G661" i="1"/>
  <c r="H661" i="1"/>
  <c r="F662" i="1"/>
  <c r="H662" i="1"/>
  <c r="I669" i="1"/>
  <c r="C4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G552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K550" i="1" s="1"/>
  <c r="L543" i="1"/>
  <c r="J551" i="1" s="1"/>
  <c r="E132" i="2"/>
  <c r="E131" i="2"/>
  <c r="K270" i="1"/>
  <c r="J270" i="1"/>
  <c r="I270" i="1"/>
  <c r="H270" i="1"/>
  <c r="G270" i="1"/>
  <c r="F270" i="1"/>
  <c r="C132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C18" i="2" s="1"/>
  <c r="D12" i="2"/>
  <c r="E12" i="2"/>
  <c r="F12" i="2"/>
  <c r="I442" i="1"/>
  <c r="J13" i="1" s="1"/>
  <c r="G12" i="2" s="1"/>
  <c r="C13" i="2"/>
  <c r="D13" i="2"/>
  <c r="D18" i="2" s="1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E31" i="2" s="1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D62" i="2" s="1"/>
  <c r="D63" i="2" s="1"/>
  <c r="C61" i="2"/>
  <c r="C62" i="2" s="1"/>
  <c r="C63" i="2" s="1"/>
  <c r="D61" i="2"/>
  <c r="E61" i="2"/>
  <c r="F61" i="2"/>
  <c r="C66" i="2"/>
  <c r="C70" i="2" s="1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09" i="2"/>
  <c r="C111" i="2"/>
  <c r="E111" i="2"/>
  <c r="E112" i="2"/>
  <c r="E113" i="2"/>
  <c r="C114" i="2"/>
  <c r="E114" i="2"/>
  <c r="D115" i="2"/>
  <c r="F115" i="2"/>
  <c r="G115" i="2"/>
  <c r="E120" i="2"/>
  <c r="E121" i="2"/>
  <c r="C122" i="2"/>
  <c r="E122" i="2"/>
  <c r="E123" i="2"/>
  <c r="E124" i="2"/>
  <c r="C125" i="2"/>
  <c r="E125" i="2"/>
  <c r="D127" i="2"/>
  <c r="D128" i="2" s="1"/>
  <c r="F128" i="2"/>
  <c r="G128" i="2"/>
  <c r="C130" i="2"/>
  <c r="E130" i="2"/>
  <c r="F130" i="2"/>
  <c r="D134" i="2"/>
  <c r="D144" i="2" s="1"/>
  <c r="D145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G619" i="1" s="1"/>
  <c r="I19" i="1"/>
  <c r="F32" i="1"/>
  <c r="F52" i="1" s="1"/>
  <c r="H617" i="1" s="1"/>
  <c r="G32" i="1"/>
  <c r="G52" i="1" s="1"/>
  <c r="H618" i="1" s="1"/>
  <c r="H32" i="1"/>
  <c r="I32" i="1"/>
  <c r="H51" i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F338" i="1" s="1"/>
  <c r="F352" i="1" s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F362" i="1"/>
  <c r="G362" i="1"/>
  <c r="H362" i="1"/>
  <c r="I362" i="1"/>
  <c r="G634" i="1" s="1"/>
  <c r="J362" i="1"/>
  <c r="K362" i="1"/>
  <c r="I368" i="1"/>
  <c r="F369" i="1"/>
  <c r="G369" i="1"/>
  <c r="H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I408" i="1" s="1"/>
  <c r="F407" i="1"/>
  <c r="G407" i="1"/>
  <c r="H407" i="1"/>
  <c r="I407" i="1"/>
  <c r="F408" i="1"/>
  <c r="G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639" i="1" s="1"/>
  <c r="G446" i="1"/>
  <c r="H446" i="1"/>
  <c r="F452" i="1"/>
  <c r="G452" i="1"/>
  <c r="H452" i="1"/>
  <c r="I452" i="1"/>
  <c r="F460" i="1"/>
  <c r="G460" i="1"/>
  <c r="G461" i="1" s="1"/>
  <c r="H640" i="1" s="1"/>
  <c r="H460" i="1"/>
  <c r="F461" i="1"/>
  <c r="H461" i="1"/>
  <c r="F470" i="1"/>
  <c r="G470" i="1"/>
  <c r="H470" i="1"/>
  <c r="I470" i="1"/>
  <c r="J470" i="1"/>
  <c r="J476" i="1" s="1"/>
  <c r="H626" i="1" s="1"/>
  <c r="F474" i="1"/>
  <c r="G474" i="1"/>
  <c r="G476" i="1" s="1"/>
  <c r="H623" i="1" s="1"/>
  <c r="J623" i="1" s="1"/>
  <c r="H474" i="1"/>
  <c r="H476" i="1" s="1"/>
  <c r="H624" i="1" s="1"/>
  <c r="J624" i="1" s="1"/>
  <c r="I474" i="1"/>
  <c r="J474" i="1"/>
  <c r="K495" i="1"/>
  <c r="K496" i="1"/>
  <c r="K497" i="1"/>
  <c r="K498" i="1"/>
  <c r="K499" i="1"/>
  <c r="K501" i="1"/>
  <c r="K502" i="1"/>
  <c r="K503" i="1"/>
  <c r="F517" i="1"/>
  <c r="G517" i="1"/>
  <c r="H517" i="1"/>
  <c r="I517" i="1"/>
  <c r="F524" i="1"/>
  <c r="G524" i="1"/>
  <c r="H524" i="1"/>
  <c r="I524" i="1"/>
  <c r="I545" i="1" s="1"/>
  <c r="J524" i="1"/>
  <c r="J545" i="1" s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8" i="1" s="1"/>
  <c r="G647" i="1" s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18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H639" i="1"/>
  <c r="G640" i="1"/>
  <c r="G641" i="1"/>
  <c r="H641" i="1"/>
  <c r="G643" i="1"/>
  <c r="H643" i="1"/>
  <c r="G644" i="1"/>
  <c r="H645" i="1"/>
  <c r="G649" i="1"/>
  <c r="J649" i="1" s="1"/>
  <c r="G651" i="1"/>
  <c r="J651" i="1" s="1"/>
  <c r="G652" i="1"/>
  <c r="H652" i="1"/>
  <c r="G653" i="1"/>
  <c r="H653" i="1"/>
  <c r="G654" i="1"/>
  <c r="H654" i="1"/>
  <c r="H655" i="1"/>
  <c r="F192" i="1"/>
  <c r="G164" i="2"/>
  <c r="L328" i="1"/>
  <c r="A31" i="12"/>
  <c r="D18" i="13"/>
  <c r="C18" i="13" s="1"/>
  <c r="D17" i="13"/>
  <c r="C17" i="13" s="1"/>
  <c r="C91" i="2"/>
  <c r="F78" i="2"/>
  <c r="F81" i="2" s="1"/>
  <c r="D31" i="2"/>
  <c r="D50" i="2"/>
  <c r="G157" i="2"/>
  <c r="F18" i="2"/>
  <c r="G156" i="2"/>
  <c r="E103" i="2"/>
  <c r="D91" i="2"/>
  <c r="E62" i="2"/>
  <c r="E63" i="2" s="1"/>
  <c r="G62" i="2"/>
  <c r="E13" i="13"/>
  <c r="C13" i="13" s="1"/>
  <c r="E78" i="2"/>
  <c r="E81" i="2" s="1"/>
  <c r="L427" i="1"/>
  <c r="H112" i="1"/>
  <c r="J641" i="1"/>
  <c r="K605" i="1"/>
  <c r="G648" i="1" s="1"/>
  <c r="J571" i="1"/>
  <c r="K571" i="1"/>
  <c r="L433" i="1"/>
  <c r="L419" i="1"/>
  <c r="D81" i="2"/>
  <c r="I169" i="1"/>
  <c r="H169" i="1"/>
  <c r="J643" i="1"/>
  <c r="I476" i="1"/>
  <c r="H625" i="1" s="1"/>
  <c r="J625" i="1" s="1"/>
  <c r="F169" i="1"/>
  <c r="J140" i="1"/>
  <c r="F571" i="1"/>
  <c r="I552" i="1"/>
  <c r="G22" i="2"/>
  <c r="K545" i="1"/>
  <c r="C29" i="10"/>
  <c r="H140" i="1"/>
  <c r="A13" i="12"/>
  <c r="F22" i="13"/>
  <c r="H25" i="13"/>
  <c r="C25" i="13" s="1"/>
  <c r="H571" i="1"/>
  <c r="L560" i="1"/>
  <c r="G192" i="1"/>
  <c r="H192" i="1"/>
  <c r="C35" i="10"/>
  <c r="L309" i="1"/>
  <c r="E16" i="13"/>
  <c r="J655" i="1"/>
  <c r="L570" i="1"/>
  <c r="I571" i="1"/>
  <c r="J636" i="1"/>
  <c r="G36" i="2"/>
  <c r="L565" i="1"/>
  <c r="G545" i="1"/>
  <c r="C22" i="13"/>
  <c r="C16" i="13"/>
  <c r="A40" i="12" l="1"/>
  <c r="H552" i="1"/>
  <c r="K549" i="1"/>
  <c r="L534" i="1"/>
  <c r="K551" i="1"/>
  <c r="F552" i="1"/>
  <c r="H545" i="1"/>
  <c r="J552" i="1"/>
  <c r="L529" i="1"/>
  <c r="L524" i="1"/>
  <c r="L545" i="1" s="1"/>
  <c r="K500" i="1"/>
  <c r="G645" i="1"/>
  <c r="J645" i="1" s="1"/>
  <c r="J639" i="1"/>
  <c r="I460" i="1"/>
  <c r="I461" i="1" s="1"/>
  <c r="H642" i="1" s="1"/>
  <c r="J640" i="1"/>
  <c r="H408" i="1"/>
  <c r="H644" i="1" s="1"/>
  <c r="J644" i="1" s="1"/>
  <c r="I369" i="1"/>
  <c r="H634" i="1" s="1"/>
  <c r="J634" i="1" s="1"/>
  <c r="I661" i="1"/>
  <c r="L362" i="1"/>
  <c r="C27" i="10" s="1"/>
  <c r="I446" i="1"/>
  <c r="G642" i="1" s="1"/>
  <c r="J642" i="1" s="1"/>
  <c r="H52" i="1"/>
  <c r="H619" i="1" s="1"/>
  <c r="J619" i="1" s="1"/>
  <c r="L351" i="1"/>
  <c r="K352" i="1"/>
  <c r="E128" i="2"/>
  <c r="E115" i="2"/>
  <c r="L290" i="1"/>
  <c r="L338" i="1" s="1"/>
  <c r="L352" i="1" s="1"/>
  <c r="G633" i="1" s="1"/>
  <c r="J633" i="1" s="1"/>
  <c r="F476" i="1"/>
  <c r="H622" i="1" s="1"/>
  <c r="J622" i="1" s="1"/>
  <c r="L256" i="1"/>
  <c r="C120" i="2"/>
  <c r="C32" i="10"/>
  <c r="H33" i="13"/>
  <c r="F257" i="1"/>
  <c r="F271" i="1" s="1"/>
  <c r="K257" i="1"/>
  <c r="K271" i="1" s="1"/>
  <c r="C17" i="10"/>
  <c r="C16" i="10"/>
  <c r="L247" i="1"/>
  <c r="H660" i="1" s="1"/>
  <c r="H664" i="1" s="1"/>
  <c r="J257" i="1"/>
  <c r="J271" i="1" s="1"/>
  <c r="G650" i="1"/>
  <c r="G662" i="1"/>
  <c r="I662" i="1" s="1"/>
  <c r="L229" i="1"/>
  <c r="G660" i="1" s="1"/>
  <c r="C124" i="2"/>
  <c r="I257" i="1"/>
  <c r="I271" i="1" s="1"/>
  <c r="G257" i="1"/>
  <c r="G271" i="1" s="1"/>
  <c r="C15" i="10"/>
  <c r="C110" i="2"/>
  <c r="C115" i="2" s="1"/>
  <c r="H257" i="1"/>
  <c r="H271" i="1" s="1"/>
  <c r="C10" i="10"/>
  <c r="H647" i="1"/>
  <c r="J647" i="1" s="1"/>
  <c r="D15" i="13"/>
  <c r="C15" i="13" s="1"/>
  <c r="D14" i="13"/>
  <c r="C14" i="13" s="1"/>
  <c r="C20" i="10"/>
  <c r="D12" i="13"/>
  <c r="C12" i="13" s="1"/>
  <c r="C121" i="2"/>
  <c r="E8" i="13"/>
  <c r="C8" i="13" s="1"/>
  <c r="C119" i="2"/>
  <c r="D6" i="13"/>
  <c r="C6" i="13" s="1"/>
  <c r="C118" i="2"/>
  <c r="D5" i="13"/>
  <c r="C5" i="13" s="1"/>
  <c r="L211" i="1"/>
  <c r="C78" i="2"/>
  <c r="C81" i="2"/>
  <c r="C104" i="2" s="1"/>
  <c r="J617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J618" i="1"/>
  <c r="G42" i="2"/>
  <c r="J51" i="1"/>
  <c r="G16" i="2"/>
  <c r="J19" i="1"/>
  <c r="G621" i="1" s="1"/>
  <c r="F33" i="13"/>
  <c r="G18" i="2"/>
  <c r="F545" i="1"/>
  <c r="H434" i="1"/>
  <c r="J620" i="1"/>
  <c r="D103" i="2"/>
  <c r="D104" i="2" s="1"/>
  <c r="I140" i="1"/>
  <c r="I193" i="1" s="1"/>
  <c r="G630" i="1" s="1"/>
  <c r="J630" i="1" s="1"/>
  <c r="A22" i="12"/>
  <c r="G50" i="2"/>
  <c r="G51" i="2" s="1"/>
  <c r="J652" i="1"/>
  <c r="G571" i="1"/>
  <c r="I434" i="1"/>
  <c r="G434" i="1"/>
  <c r="I663" i="1"/>
  <c r="G635" i="1"/>
  <c r="J635" i="1" s="1"/>
  <c r="K552" i="1" l="1"/>
  <c r="G104" i="2"/>
  <c r="H646" i="1"/>
  <c r="E145" i="2"/>
  <c r="D31" i="13"/>
  <c r="C31" i="13" s="1"/>
  <c r="F660" i="1"/>
  <c r="F664" i="1" s="1"/>
  <c r="H648" i="1"/>
  <c r="J648" i="1" s="1"/>
  <c r="H667" i="1"/>
  <c r="H672" i="1"/>
  <c r="C6" i="10" s="1"/>
  <c r="G664" i="1"/>
  <c r="G667" i="1" s="1"/>
  <c r="G672" i="1"/>
  <c r="C5" i="10" s="1"/>
  <c r="C28" i="10"/>
  <c r="D19" i="10" s="1"/>
  <c r="E33" i="13"/>
  <c r="D35" i="13" s="1"/>
  <c r="C128" i="2"/>
  <c r="C145" i="2" s="1"/>
  <c r="L257" i="1"/>
  <c r="L271" i="1" s="1"/>
  <c r="G632" i="1" s="1"/>
  <c r="J632" i="1" s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D33" i="13" l="1"/>
  <c r="D36" i="13" s="1"/>
  <c r="I660" i="1"/>
  <c r="I664" i="1" s="1"/>
  <c r="I672" i="1" s="1"/>
  <c r="C7" i="10" s="1"/>
  <c r="D11" i="10"/>
  <c r="D22" i="10"/>
  <c r="D27" i="10"/>
  <c r="D17" i="10"/>
  <c r="D24" i="10"/>
  <c r="D13" i="10"/>
  <c r="D21" i="10"/>
  <c r="D18" i="10"/>
  <c r="D12" i="10"/>
  <c r="D10" i="10"/>
  <c r="D26" i="10"/>
  <c r="C30" i="10"/>
  <c r="D16" i="10"/>
  <c r="D23" i="10"/>
  <c r="D20" i="10"/>
  <c r="D15" i="10"/>
  <c r="D25" i="10"/>
  <c r="F667" i="1"/>
  <c r="F672" i="1"/>
  <c r="C4" i="10" s="1"/>
  <c r="H656" i="1"/>
  <c r="C41" i="10"/>
  <c r="D38" i="10" s="1"/>
  <c r="I667" i="1" l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<sst xmlns="http://schemas.openxmlformats.org/spreadsheetml/2006/main" count="3958" uniqueCount="916">
  <si>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</si>
  <si>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</si>
  <si>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</si>
  <si>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</si>
  <si>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</si>
  <si>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</si>
  <si>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</si>
  <si>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</si>
  <si>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</si>
  <si>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</si>
  <si>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</si>
  <si>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</si>
  <si>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</si>
  <si>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</si>
  <si>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</si>
  <si>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</si>
  <si>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</si>
  <si>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</si>
  <si>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</si>
  <si>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</si>
  <si>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</si>
  <si>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</si>
  <si>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</si>
  <si>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</si>
  <si>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</si>
  <si>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</si>
  <si>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</si>
  <si>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</si>
  <si>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</si>
  <si>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</si>
  <si>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</si>
  <si>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</si>
  <si>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</si>
  <si>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</si>
  <si>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</si>
  <si>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</si>
  <si>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</si>
  <si>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</si>
  <si>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</si>
  <si>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</si>
  <si>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</si>
  <si>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</si>
  <si>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</si>
  <si>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</si>
  <si>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</si>
  <si>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</si>
  <si>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</si>
  <si>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</si>
  <si>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</si>
  <si>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</si>
  <si>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</si>
  <si>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</si>
  <si>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</si>
  <si>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</si>
  <si>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</si>
  <si>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</si>
  <si>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</si>
  <si>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</si>
  <si>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</si>
  <si>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</si>
  <si>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</si>
  <si>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</si>
  <si>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</si>
  <si>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</si>
  <si>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</si>
  <si>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</si>
  <si>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</si>
  <si>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</si>
  <si>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</si>
  <si>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</si>
  <si>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</si>
  <si>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</si>
  <si>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</si>
  <si>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</si>
  <si>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</si>
  <si>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</si>
  <si>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</si>
  <si>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</si>
  <si>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</si>
  <si>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</si>
  <si>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</si>
  <si>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</si>
  <si>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</si>
  <si>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</si>
  <si>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</si>
  <si>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</si>
  <si>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</si>
  <si>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</si>
  <si>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</si>
  <si>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</si>
  <si>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</si>
  <si>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</si>
  <si>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</si>
  <si>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</si>
  <si>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</si>
  <si>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</si>
  <si>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</si>
  <si>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</si>
  <si>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</si>
  <si>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</si>
  <si>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</si>
  <si>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</si>
  <si>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</si>
  <si>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</si>
  <si>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</si>
  <si>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</si>
  <si>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</si>
  <si>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</si>
  <si>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</si>
  <si>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</si>
  <si>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</si>
  <si>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</si>
  <si>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</si>
  <si>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</si>
  <si>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</si>
  <si>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</si>
  <si>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</si>
  <si>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</si>
  <si>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</si>
  <si>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</si>
  <si>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</si>
  <si>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</si>
  <si>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</si>
  <si>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</si>
  <si>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</si>
  <si>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</si>
  <si>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</si>
  <si>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</si>
  <si>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</si>
  <si>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</si>
  <si>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</si>
  <si>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</si>
  <si>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</si>
  <si>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</si>
  <si>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</si>
  <si>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</si>
  <si>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</si>
  <si>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</si>
  <si>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</si>
  <si>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</si>
  <si>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</si>
  <si>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</si>
  <si>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</si>
  <si>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</si>
  <si>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</si>
  <si>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</si>
  <si>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</si>
  <si>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</si>
  <si>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</si>
  <si>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</si>
  <si>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</si>
  <si>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</si>
  <si>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</si>
  <si>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</si>
  <si>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</si>
  <si>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</si>
  <si>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</si>
  <si>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</si>
  <si>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</si>
  <si>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</si>
  <si>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</si>
  <si>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</si>
  <si>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</si>
  <si>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</si>
  <si>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</si>
  <si>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</si>
  <si>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</si>
  <si>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</si>
  <si>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</si>
  <si>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</si>
  <si>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</si>
  <si>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</si>
  <si>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</si>
  <si>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</si>
  <si>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</si>
  <si>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</si>
  <si>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</si>
  <si>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</si>
  <si>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</si>
  <si>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</si>
  <si>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</si>
  <si>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</si>
  <si>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</si>
  <si>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</si>
  <si>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</si>
  <si>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</si>
  <si>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</si>
  <si>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</si>
  <si>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</si>
  <si>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</si>
  <si>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</si>
  <si>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</si>
  <si>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</si>
  <si>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</si>
  <si>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</si>
  <si>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</si>
  <si>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</si>
  <si>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</si>
  <si>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</si>
  <si>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</si>
  <si>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</si>
  <si>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</si>
  <si>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</si>
  <si>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</si>
  <si>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</si>
  <si>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</si>
  <si>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</si>
  <si>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</si>
  <si>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</si>
  <si>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</si>
  <si>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</si>
  <si>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</si>
  <si>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</si>
  <si>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</si>
  <si>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</si>
  <si>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</si>
  <si>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</si>
  <si>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</si>
  <si>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</si>
  <si>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</si>
  <si>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</si>
  <si>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</si>
  <si>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</si>
  <si>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</si>
  <si>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</si>
  <si>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</si>
  <si>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</si>
  <si>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</si>
  <si>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</si>
  <si>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</si>
  <si>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</si>
  <si>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</si>
  <si>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</si>
  <si>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</si>
  <si>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</si>
  <si>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</si>
  <si>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</si>
  <si>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</si>
  <si>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</si>
  <si>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</si>
  <si>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</si>
  <si>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</si>
  <si>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</si>
  <si>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</si>
  <si>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</si>
  <si>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</si>
  <si>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</si>
  <si>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</si>
  <si>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</si>
  <si>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</si>
  <si>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</si>
  <si>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</si>
  <si>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</si>
  <si>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</si>
  <si>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</si>
  <si>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</si>
  <si>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</si>
  <si>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</si>
  <si>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</si>
  <si>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</si>
  <si>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</si>
  <si>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</si>
  <si>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</si>
  <si>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</si>
  <si>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</si>
  <si>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</si>
  <si>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</si>
  <si>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</si>
  <si>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</si>
  <si>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</si>
  <si>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</si>
  <si>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</si>
  <si>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</si>
  <si>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</si>
  <si>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</si>
  <si>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</si>
  <si>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</si>
  <si>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</si>
  <si>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</si>
  <si>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</si>
  <si>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</si>
  <si>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</si>
  <si>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</si>
  <si>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</si>
  <si>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</si>
  <si>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</si>
  <si>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</si>
  <si>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</si>
  <si>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</si>
  <si>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</si>
  <si>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</si>
  <si>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</si>
  <si>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</si>
  <si>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</si>
  <si>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</si>
  <si>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</si>
  <si>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</si>
  <si>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</si>
  <si>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</si>
  <si>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</si>
  <si>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</si>
  <si>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</si>
  <si>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</si>
  <si>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</si>
  <si>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</si>
  <si>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</si>
  <si>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</si>
  <si>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</si>
  <si>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</si>
  <si>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</si>
  <si>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</si>
  <si>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</si>
  <si>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</si>
  <si>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</si>
  <si>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</si>
  <si>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</si>
  <si>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</si>
  <si>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</si>
  <si>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</si>
  <si>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</si>
  <si>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</si>
  <si>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</si>
  <si>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</si>
  <si>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</si>
  <si>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</si>
  <si>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</si>
  <si>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</si>
  <si>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</si>
  <si>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</si>
  <si>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</si>
  <si>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</si>
  <si>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</si>
  <si>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</si>
  <si>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</si>
  <si>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</si>
  <si>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</si>
  <si>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</si>
  <si>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</si>
  <si>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</si>
  <si>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</si>
  <si>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</si>
  <si>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</si>
  <si>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</si>
  <si>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</si>
  <si>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</si>
  <si>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</si>
  <si>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</si>
  <si>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</si>
  <si>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</si>
  <si>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</si>
  <si>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</si>
  <si>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</si>
  <si>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</si>
  <si>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</si>
  <si>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</si>
  <si>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</si>
  <si>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</si>
  <si>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</si>
  <si>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</si>
  <si>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</si>
  <si>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</si>
  <si>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</si>
  <si>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</si>
  <si>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</si>
  <si>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</si>
  <si>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</si>
  <si>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</si>
  <si>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</si>
  <si>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</si>
  <si>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</si>
  <si>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</si>
  <si>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</si>
  <si>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</si>
  <si>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</si>
  <si>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</si>
  <si>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</si>
  <si>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</si>
  <si>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</si>
  <si>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</si>
  <si>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</si>
  <si>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</si>
  <si>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</si>
  <si>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</si>
  <si>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</si>
  <si>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</si>
  <si>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</si>
  <si>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</si>
  <si>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</si>
  <si>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</si>
  <si>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</si>
  <si>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</si>
  <si>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</si>
  <si>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</si>
  <si>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</si>
  <si>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</si>
  <si>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</si>
  <si>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</si>
  <si>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</si>
  <si>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</si>
  <si>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</si>
  <si>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</si>
  <si>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</si>
  <si>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</si>
  <si>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</si>
  <si>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</si>
  <si>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</si>
  <si>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</si>
  <si>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</si>
  <si>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</si>
  <si>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</si>
  <si>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</si>
  <si>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</si>
  <si>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</si>
  <si>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</si>
  <si>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</si>
  <si>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</si>
  <si>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</si>
  <si>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</si>
  <si>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</si>
  <si>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</si>
  <si>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</si>
  <si>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</si>
  <si>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</si>
  <si>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</si>
  <si>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</si>
  <si>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</si>
  <si>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</si>
  <si>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</si>
  <si>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</si>
  <si>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</si>
  <si>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</si>
  <si>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</si>
  <si>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</si>
  <si>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</si>
  <si>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</si>
  <si>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</si>
  <si>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</si>
  <si>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</si>
  <si>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</si>
  <si>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</si>
  <si>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</si>
  <si>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</si>
  <si>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</si>
  <si>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</si>
  <si>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</si>
  <si>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</si>
  <si>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</si>
  <si>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</si>
  <si>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</si>
  <si>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</si>
  <si>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</si>
  <si>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</si>
  <si>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</si>
  <si>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</si>
  <si>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</si>
  <si>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</si>
  <si>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</si>
  <si>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</si>
  <si>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</si>
  <si>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</si>
  <si>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</si>
  <si>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</si>
  <si>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</si>
  <si>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</si>
  <si>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</si>
  <si>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</si>
  <si>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</si>
  <si>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</si>
  <si>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</si>
  <si>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</si>
  <si>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</si>
  <si>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</si>
  <si>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</si>
  <si>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</si>
  <si>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</si>
  <si>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</si>
  <si>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</si>
  <si>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</si>
  <si>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</si>
  <si>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</si>
  <si>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</si>
  <si>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</si>
  <si>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</si>
  <si>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</si>
  <si>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</si>
  <si>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</si>
  <si>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</si>
  <si>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</si>
  <si>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</si>
  <si>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</si>
  <si>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</si>
  <si>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</si>
  <si>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</si>
  <si>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</si>
  <si>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</si>
  <si>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</si>
  <si>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</si>
  <si>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</si>
  <si>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</si>
  <si>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</si>
  <si>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</si>
  <si>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</si>
  <si>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</si>
  <si>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</si>
  <si>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</si>
  <si>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</si>
  <si>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</si>
  <si>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</si>
  <si>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</si>
  <si>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</si>
  <si>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</si>
  <si>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</si>
  <si>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</si>
  <si>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</si>
  <si>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</si>
  <si>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</si>
  <si>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</si>
  <si>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</si>
  <si>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</si>
  <si>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</si>
  <si>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</si>
  <si>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</si>
  <si>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</si>
  <si>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</si>
  <si>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</si>
  <si>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</si>
  <si>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</si>
  <si>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</si>
  <si>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</si>
  <si>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</si>
  <si>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</si>
  <si>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</si>
  <si>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</si>
  <si>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</si>
  <si>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</si>
  <si>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</si>
  <si>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</si>
  <si>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</si>
  <si>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</si>
  <si>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</si>
  <si>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</si>
  <si>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</si>
  <si>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</si>
  <si>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</si>
  <si>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</si>
  <si>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</si>
  <si>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</si>
  <si>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</si>
  <si>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</si>
  <si>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</si>
  <si>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</si>
  <si>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</si>
  <si>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</si>
  <si>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</si>
  <si>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</si>
  <si>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</si>
  <si>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</si>
  <si>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</si>
  <si>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</si>
  <si>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</si>
  <si>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</si>
  <si>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</si>
  <si>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</si>
  <si>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</si>
  <si>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</si>
  <si>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</si>
  <si>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</si>
  <si>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</si>
  <si>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</si>
  <si>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</si>
  <si>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</si>
  <si>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</si>
  <si>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</si>
  <si>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</si>
  <si>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</si>
  <si>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</si>
  <si>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</si>
  <si>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</si>
  <si>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</si>
  <si>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</si>
  <si>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</si>
  <si>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</si>
  <si>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</si>
  <si>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</si>
  <si>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</si>
  <si>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</si>
  <si>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</si>
  <si>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</si>
  <si>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</si>
  <si>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</si>
  <si>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</si>
  <si>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</si>
  <si>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</si>
  <si>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</si>
  <si>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</si>
  <si>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</si>
  <si>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</si>
  <si>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</si>
  <si>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</si>
  <si>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</si>
  <si>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</si>
  <si>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</si>
  <si>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</si>
  <si>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</si>
  <si>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</si>
  <si>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</si>
  <si>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</si>
  <si>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</si>
  <si>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</si>
  <si>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</si>
  <si>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</si>
  <si>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</si>
  <si>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</si>
  <si>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</si>
  <si>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</si>
  <si>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</si>
  <si>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</si>
  <si>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</si>
  <si>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</si>
  <si>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</si>
  <si>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</si>
  <si>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</si>
  <si>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</si>
  <si>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</si>
  <si>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</si>
  <si>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</si>
  <si>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</si>
  <si>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</si>
  <si>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</si>
  <si>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</si>
  <si>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</si>
  <si>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</si>
  <si>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</si>
  <si>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</si>
  <si>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</si>
  <si>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</si>
  <si>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</si>
  <si>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</si>
  <si>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</si>
  <si>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</si>
  <si>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</si>
  <si>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</si>
  <si>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</si>
  <si>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</si>
  <si>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</si>
  <si>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</si>
  <si>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</si>
  <si>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</si>
  <si>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</si>
  <si>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</si>
  <si>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</si>
  <si>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</si>
  <si>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</si>
  <si>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</si>
  <si>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</si>
  <si>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</si>
  <si>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</si>
  <si>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</si>
  <si>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</si>
  <si>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</si>
  <si>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</si>
  <si>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</si>
  <si>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</si>
  <si>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</si>
  <si>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</si>
  <si>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</si>
  <si>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</si>
  <si>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</si>
  <si>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</si>
  <si>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</si>
  <si>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</si>
  <si>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</si>
  <si>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</si>
  <si>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</si>
  <si>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</si>
  <si>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</si>
  <si>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</si>
  <si>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</si>
  <si>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</si>
  <si>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</si>
  <si>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</si>
  <si>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</si>
  <si>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</si>
  <si>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</si>
  <si>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</si>
  <si>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</si>
  <si>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</si>
  <si>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</si>
  <si>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</si>
  <si>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</si>
  <si>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</si>
  <si>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</si>
  <si>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</si>
  <si>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</si>
  <si>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</si>
  <si>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</si>
  <si>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</si>
  <si>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</si>
  <si>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</si>
  <si>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</si>
  <si>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</si>
  <si>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</si>
  <si>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</si>
  <si>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</si>
  <si>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</si>
  <si>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</si>
  <si>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</si>
  <si>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</si>
  <si>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</si>
  <si>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</si>
  <si>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</si>
  <si>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</si>
  <si>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</si>
  <si>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</si>
  <si>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</si>
  <si>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</si>
  <si>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</si>
  <si>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</si>
  <si>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</si>
  <si>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</si>
  <si>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</si>
  <si>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</si>
  <si>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</si>
  <si>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</si>
  <si>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</si>
  <si>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</si>
  <si>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</si>
  <si>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</si>
  <si>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</si>
  <si>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</si>
  <si>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</si>
  <si>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</si>
  <si>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</si>
  <si>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</si>
  <si>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</si>
  <si>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</si>
  <si>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</si>
  <si>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</si>
  <si>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</si>
  <si>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</si>
  <si>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</si>
  <si>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</si>
  <si>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</si>
  <si>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</si>
  <si>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</si>
  <si>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</si>
  <si>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</si>
  <si>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</si>
  <si>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</si>
  <si>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</si>
  <si>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</si>
  <si>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</si>
  <si>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</si>
  <si>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</si>
  <si>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</si>
  <si>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</si>
  <si>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</si>
  <si>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</si>
  <si>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</si>
  <si>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</si>
  <si>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</si>
  <si>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</si>
  <si>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</si>
  <si>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</si>
  <si>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</si>
  <si>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</si>
  <si>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</si>
  <si>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</si>
  <si>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</si>
  <si>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</si>
  <si>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</si>
  <si>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</si>
  <si>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</si>
  <si>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</si>
  <si>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</si>
  <si>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</si>
  <si>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</si>
  <si>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</si>
  <si>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</si>
  <si>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</si>
  <si>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</si>
  <si>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</si>
  <si>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</si>
  <si>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</si>
  <si>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</si>
  <si>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</si>
  <si>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</si>
  <si>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</si>
  <si>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</si>
  <si>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</si>
  <si>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</si>
  <si>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</si>
  <si>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</si>
  <si>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</si>
  <si>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</si>
  <si>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</si>
  <si>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</si>
  <si>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</si>
  <si>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</si>
  <si>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</si>
  <si>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</si>
  <si>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</si>
  <si>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</si>
  <si>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</si>
  <si>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</si>
  <si>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</si>
  <si>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</si>
  <si>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</si>
  <si>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</si>
  <si>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</si>
  <si>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</si>
  <si>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</si>
  <si>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</si>
  <si>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</si>
  <si>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</si>
  <si>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</si>
  <si>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</si>
  <si>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</si>
  <si>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</si>
  <si>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</si>
  <si>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</si>
  <si>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</si>
  <si>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</si>
  <si>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</si>
  <si>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</si>
  <si>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</si>
  <si>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</si>
  <si>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</si>
  <si>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</si>
  <si>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</si>
  <si>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</si>
  <si>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</si>
  <si>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</si>
  <si>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</si>
  <si>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</si>
  <si>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</si>
  <si>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</si>
  <si>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</si>
  <si>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</si>
  <si>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</si>
  <si>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</si>
  <si>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</si>
  <si>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</si>
  <si>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</si>
  <si>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</si>
  <si>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</si>
  <si>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</si>
  <si>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</si>
  <si>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</si>
  <si>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</si>
  <si>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</si>
  <si>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</si>
  <si>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</si>
  <si>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</si>
  <si>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</si>
  <si>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</si>
  <si>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</si>
  <si>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</si>
  <si>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</si>
  <si>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</si>
  <si>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</si>
  <si>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</si>
  <si>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</si>
  <si>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</si>
  <si>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</si>
  <si>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</si>
  <si>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</si>
  <si>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</si>
  <si>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</si>
  <si>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</si>
  <si>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</si>
  <si>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</si>
  <si>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</si>
  <si>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</si>
  <si>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</si>
  <si>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</si>
  <si>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</si>
  <si>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</si>
  <si>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</si>
  <si>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</si>
  <si>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</si>
  <si>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</si>
  <si>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</si>
  <si>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</si>
  <si>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</si>
  <si>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</si>
  <si>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</si>
  <si>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</si>
  <si>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</si>
  <si>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</si>
  <si>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</si>
  <si>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</si>
  <si>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</si>
  <si>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</si>
  <si>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</si>
  <si>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</si>
  <si>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</si>
  <si>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</si>
  <si>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</si>
  <si>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</si>
  <si>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</si>
  <si>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</si>
  <si>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</si>
  <si>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</si>
  <si>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</si>
  <si>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</si>
  <si>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</si>
  <si>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</si>
  <si>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</si>
  <si>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</si>
  <si>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</si>
  <si>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Milan</t>
  </si>
  <si>
    <t>06/2002</t>
  </si>
  <si>
    <t>07/2017</t>
  </si>
  <si>
    <t>LGC Settlement - $5,018.51</t>
  </si>
  <si>
    <t>Property - $1,633.24; Dental $1,069.72; Health $2,315.55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</si>
</sst>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75" workbookViewId="0">
      <pane xSplit="5" ySplit="3" topLeftCell="F144" activePane="bottomRight" state="frozen"/>
      <selection pane="topRight" activeCell="F1" sqref="F1"/>
      <selection pane="bottomLeft" activeCell="A4" sqref="A4"/>
      <selection pane="bottomRight" activeCell="F51" sqref="F5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355</v>
      </c>
      <c r="C2" s="21">
        <v>355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374507.61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377637.75</v>
      </c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/>
      <c r="H12" s="18">
        <v>8225.16</v>
      </c>
      <c r="I12" s="18"/>
      <c r="J12" s="67">
        <f>SUM(I441)</f>
        <v>1353.5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3446.31</v>
      </c>
      <c r="G13" s="18">
        <v>809.86</v>
      </c>
      <c r="H13" s="18">
        <v>10389.73</v>
      </c>
      <c r="I13" s="18"/>
      <c r="J13" s="67">
        <f>SUM(I442)</f>
        <v>236557.16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>
        <v>3579.55</v>
      </c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>
        <v>185045</v>
      </c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940636.67</v>
      </c>
      <c r="G19" s="41">
        <f>SUM(G9:G18)</f>
        <v>4389.41</v>
      </c>
      <c r="H19" s="41">
        <f>SUM(H9:H18)</f>
        <v>18614.89</v>
      </c>
      <c r="I19" s="41">
        <f>SUM(I9:I18)</f>
        <v>0</v>
      </c>
      <c r="J19" s="41">
        <f>SUM(J9:J18)</f>
        <v>237910.66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8285.7999999999993</v>
      </c>
      <c r="G22" s="18">
        <v>1292.8599999999999</v>
      </c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568787.62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3400.99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>
        <v>2342.41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f>225</f>
        <v>225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v>230404</v>
      </c>
      <c r="G30" s="18"/>
      <c r="H30" s="18">
        <v>16272.48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811103.41</v>
      </c>
      <c r="G32" s="41">
        <f>SUM(G22:G31)</f>
        <v>1292.8599999999999</v>
      </c>
      <c r="H32" s="41">
        <f>SUM(H22:H31)</f>
        <v>18614.89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>
        <v>842.5</v>
      </c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>
        <v>10000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>
        <v>3096.55</v>
      </c>
      <c r="H48" s="18"/>
      <c r="I48" s="18"/>
      <c r="J48" s="13">
        <f>SUM(I459)</f>
        <v>237910.66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118690.76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129533.26</v>
      </c>
      <c r="G51" s="41">
        <f>SUM(G35:G50)</f>
        <v>3096.55</v>
      </c>
      <c r="H51" s="41">
        <f>SUM(H35:H50)</f>
        <v>0</v>
      </c>
      <c r="I51" s="41">
        <f>SUM(I35:I50)</f>
        <v>0</v>
      </c>
      <c r="J51" s="41">
        <f>SUM(J35:J50)</f>
        <v>237910.66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940636.67</v>
      </c>
      <c r="G52" s="41">
        <f>G51+G32</f>
        <v>4389.41</v>
      </c>
      <c r="H52" s="41">
        <f>H51+H32</f>
        <v>18614.89</v>
      </c>
      <c r="I52" s="41">
        <f>I51+I32</f>
        <v>0</v>
      </c>
      <c r="J52" s="41">
        <f>J51+J32</f>
        <v>237910.66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1381762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1381762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>
        <v>140401.16</v>
      </c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140401.16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242.66</v>
      </c>
      <c r="G96" s="18"/>
      <c r="H96" s="18"/>
      <c r="I96" s="18"/>
      <c r="J96" s="18">
        <v>59.88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20933.95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>
        <v>7000</v>
      </c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>
        <v>5086.37</v>
      </c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>
        <v>70561.19</v>
      </c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11424.55</v>
      </c>
      <c r="G110" s="18"/>
      <c r="H110" s="18"/>
      <c r="I110" s="18"/>
      <c r="J110" s="18">
        <v>1970</v>
      </c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89228.400000000009</v>
      </c>
      <c r="G111" s="41">
        <f>SUM(G96:G110)</f>
        <v>20933.95</v>
      </c>
      <c r="H111" s="41">
        <f>SUM(H96:H110)</f>
        <v>5086.37</v>
      </c>
      <c r="I111" s="41">
        <f>SUM(I96:I110)</f>
        <v>0</v>
      </c>
      <c r="J111" s="41">
        <f>SUM(J96:J110)</f>
        <v>2029.88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1611391.5599999998</v>
      </c>
      <c r="G112" s="41">
        <f>G60+G111</f>
        <v>20933.95</v>
      </c>
      <c r="H112" s="41">
        <f>H60+H79+H94+H111</f>
        <v>5086.37</v>
      </c>
      <c r="I112" s="41">
        <f>I60+I111</f>
        <v>0</v>
      </c>
      <c r="J112" s="41">
        <f>J60+J111</f>
        <v>2029.88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1055399.21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237834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1293233.21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76251.360000000001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6252.46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638.99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82503.820000000007</v>
      </c>
      <c r="G136" s="41">
        <f>SUM(G123:G135)</f>
        <v>638.99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1375737.03</v>
      </c>
      <c r="G140" s="41">
        <f>G121+SUM(G136:G137)</f>
        <v>638.99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21997.200000000001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27486.62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17823.62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28904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16995.5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>
        <v>3221.53</v>
      </c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16995.5</v>
      </c>
      <c r="G162" s="41">
        <f>SUM(G150:G161)</f>
        <v>21045.149999999998</v>
      </c>
      <c r="H162" s="41">
        <f>SUM(H150:H161)</f>
        <v>78387.820000000007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>
        <v>6872.17</v>
      </c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23867.67</v>
      </c>
      <c r="G169" s="41">
        <f>G147+G162+SUM(G163:G168)</f>
        <v>21045.149999999998</v>
      </c>
      <c r="H169" s="41">
        <f>H147+H162+SUM(H163:H168)</f>
        <v>78387.820000000007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>
        <v>6000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6000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6000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3010996.26</v>
      </c>
      <c r="G193" s="47">
        <f>G112+G140+G169+G192</f>
        <v>42618.09</v>
      </c>
      <c r="H193" s="47">
        <f>H112+H140+H169+H192</f>
        <v>83474.19</v>
      </c>
      <c r="I193" s="47">
        <f>I112+I140+I169+I192</f>
        <v>0</v>
      </c>
      <c r="J193" s="47">
        <f>J112+J140+J192</f>
        <v>8029.88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327023.08</v>
      </c>
      <c r="G197" s="18">
        <v>161521.93</v>
      </c>
      <c r="H197" s="18">
        <v>2227.67</v>
      </c>
      <c r="I197" s="18">
        <v>14145.85</v>
      </c>
      <c r="J197" s="18">
        <v>18773.23</v>
      </c>
      <c r="K197" s="18">
        <v>200</v>
      </c>
      <c r="L197" s="19">
        <f>SUM(F197:K197)</f>
        <v>523891.75999999995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37685.18</v>
      </c>
      <c r="G198" s="18">
        <v>26367.98</v>
      </c>
      <c r="H198" s="18"/>
      <c r="I198" s="18">
        <v>458.19</v>
      </c>
      <c r="J198" s="18"/>
      <c r="K198" s="18"/>
      <c r="L198" s="19">
        <f>SUM(F198:K198)</f>
        <v>64511.350000000006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2596.2600000000002</v>
      </c>
      <c r="G200" s="18">
        <v>325.14999999999998</v>
      </c>
      <c r="H200" s="18">
        <v>495.79</v>
      </c>
      <c r="I200" s="18"/>
      <c r="J200" s="18"/>
      <c r="K200" s="18">
        <v>130</v>
      </c>
      <c r="L200" s="19">
        <f>SUM(F200:K200)</f>
        <v>3547.2000000000003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32782.26</v>
      </c>
      <c r="G202" s="18">
        <v>2807.56</v>
      </c>
      <c r="H202" s="18">
        <v>112194.89</v>
      </c>
      <c r="I202" s="18">
        <v>2118.7199999999998</v>
      </c>
      <c r="J202" s="18">
        <v>2496.7800000000002</v>
      </c>
      <c r="K202" s="18"/>
      <c r="L202" s="19">
        <f t="shared" ref="L202:L208" si="0">SUM(F202:K202)</f>
        <v>152400.21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25629.26</v>
      </c>
      <c r="G203" s="18">
        <v>13037.78</v>
      </c>
      <c r="H203" s="18">
        <v>3178.8</v>
      </c>
      <c r="I203" s="18">
        <v>1793.19</v>
      </c>
      <c r="J203" s="18">
        <v>6829</v>
      </c>
      <c r="K203" s="18">
        <v>756</v>
      </c>
      <c r="L203" s="19">
        <f t="shared" si="0"/>
        <v>51224.030000000006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1616.5</v>
      </c>
      <c r="G204" s="18">
        <v>126</v>
      </c>
      <c r="H204" s="18">
        <v>67197.72</v>
      </c>
      <c r="I204" s="18">
        <v>362.78</v>
      </c>
      <c r="J204" s="18"/>
      <c r="K204" s="18">
        <v>1520.39</v>
      </c>
      <c r="L204" s="19">
        <f t="shared" si="0"/>
        <v>70823.39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91992.09</v>
      </c>
      <c r="G205" s="18">
        <v>41251.949999999997</v>
      </c>
      <c r="H205" s="18">
        <v>2289.6</v>
      </c>
      <c r="I205" s="18">
        <v>2084</v>
      </c>
      <c r="J205" s="18">
        <v>1171</v>
      </c>
      <c r="K205" s="18">
        <v>4980.3500000000004</v>
      </c>
      <c r="L205" s="19">
        <f t="shared" si="0"/>
        <v>143768.99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57989.31</v>
      </c>
      <c r="G207" s="18">
        <v>34710.99</v>
      </c>
      <c r="H207" s="18">
        <v>30249.65</v>
      </c>
      <c r="I207" s="18">
        <v>64677.15</v>
      </c>
      <c r="J207" s="18">
        <v>990.26</v>
      </c>
      <c r="K207" s="18"/>
      <c r="L207" s="19">
        <f t="shared" si="0"/>
        <v>188617.36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83184.240000000005</v>
      </c>
      <c r="I208" s="18">
        <v>9557.33</v>
      </c>
      <c r="J208" s="18"/>
      <c r="K208" s="18"/>
      <c r="L208" s="19">
        <f t="shared" si="0"/>
        <v>92741.57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577313.93999999994</v>
      </c>
      <c r="G211" s="41">
        <f t="shared" si="1"/>
        <v>280149.33999999997</v>
      </c>
      <c r="H211" s="41">
        <f t="shared" si="1"/>
        <v>301018.36</v>
      </c>
      <c r="I211" s="41">
        <f t="shared" si="1"/>
        <v>95197.21</v>
      </c>
      <c r="J211" s="41">
        <f t="shared" si="1"/>
        <v>30260.269999999997</v>
      </c>
      <c r="K211" s="41">
        <f t="shared" si="1"/>
        <v>7586.7400000000007</v>
      </c>
      <c r="L211" s="41">
        <f t="shared" si="1"/>
        <v>1291525.8600000001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>
        <v>376713.52</v>
      </c>
      <c r="I215" s="18"/>
      <c r="J215" s="18"/>
      <c r="K215" s="18"/>
      <c r="L215" s="19">
        <f>SUM(F215:K215)</f>
        <v>376713.52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>
        <v>93679.79</v>
      </c>
      <c r="I216" s="18"/>
      <c r="J216" s="18"/>
      <c r="K216" s="18"/>
      <c r="L216" s="19">
        <f>SUM(F216:K216)</f>
        <v>93679.79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>
        <v>3710.95</v>
      </c>
      <c r="I220" s="18"/>
      <c r="J220" s="18"/>
      <c r="K220" s="18"/>
      <c r="L220" s="19">
        <f t="shared" ref="L220:L226" si="2">SUM(F220:K220)</f>
        <v>3710.95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>
        <v>1952.5</v>
      </c>
      <c r="I221" s="18"/>
      <c r="J221" s="18"/>
      <c r="K221" s="18"/>
      <c r="L221" s="19">
        <f t="shared" si="2"/>
        <v>1952.5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488</v>
      </c>
      <c r="G222" s="18">
        <v>38.04</v>
      </c>
      <c r="H222" s="18">
        <v>20286.099999999999</v>
      </c>
      <c r="I222" s="18">
        <v>109.52</v>
      </c>
      <c r="J222" s="18"/>
      <c r="K222" s="18">
        <v>458.99</v>
      </c>
      <c r="L222" s="19">
        <f t="shared" si="2"/>
        <v>21380.65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48614.84</v>
      </c>
      <c r="I226" s="18">
        <v>3315.81</v>
      </c>
      <c r="J226" s="18"/>
      <c r="K226" s="18"/>
      <c r="L226" s="19">
        <f t="shared" si="2"/>
        <v>51930.649999999994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488</v>
      </c>
      <c r="G229" s="41">
        <f>SUM(G215:G228)</f>
        <v>38.04</v>
      </c>
      <c r="H229" s="41">
        <f>SUM(H215:H228)</f>
        <v>544957.69999999995</v>
      </c>
      <c r="I229" s="41">
        <f>SUM(I215:I228)</f>
        <v>3425.33</v>
      </c>
      <c r="J229" s="41">
        <f>SUM(J215:J228)</f>
        <v>0</v>
      </c>
      <c r="K229" s="41">
        <f t="shared" si="3"/>
        <v>458.99</v>
      </c>
      <c r="L229" s="41">
        <f t="shared" si="3"/>
        <v>549368.06000000006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818019.42</v>
      </c>
      <c r="I233" s="18"/>
      <c r="J233" s="18"/>
      <c r="K233" s="18"/>
      <c r="L233" s="19">
        <f>SUM(F233:K233)</f>
        <v>818019.42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48956.95</v>
      </c>
      <c r="G234" s="18">
        <v>31410.98</v>
      </c>
      <c r="H234" s="18">
        <v>58418.12</v>
      </c>
      <c r="I234" s="18"/>
      <c r="J234" s="18">
        <v>7599.46</v>
      </c>
      <c r="K234" s="18"/>
      <c r="L234" s="19">
        <f>SUM(F234:K234)</f>
        <v>146385.50999999998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1053.6400000000001</v>
      </c>
      <c r="G236" s="18">
        <v>235.13</v>
      </c>
      <c r="H236" s="18">
        <v>729.65</v>
      </c>
      <c r="I236" s="18"/>
      <c r="J236" s="18"/>
      <c r="K236" s="18"/>
      <c r="L236" s="19">
        <f>SUM(F236:K236)</f>
        <v>2018.42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>
        <v>8434.99</v>
      </c>
      <c r="I238" s="18"/>
      <c r="J238" s="18"/>
      <c r="K238" s="18"/>
      <c r="L238" s="19">
        <f t="shared" ref="L238:L244" si="4">SUM(F238:K238)</f>
        <v>8434.99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>
        <v>1072.5</v>
      </c>
      <c r="I239" s="18"/>
      <c r="J239" s="18"/>
      <c r="K239" s="18"/>
      <c r="L239" s="19">
        <f t="shared" si="4"/>
        <v>1072.5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945.5</v>
      </c>
      <c r="G240" s="18">
        <v>73.7</v>
      </c>
      <c r="H240" s="18">
        <v>39304.33</v>
      </c>
      <c r="I240" s="18">
        <v>212.19</v>
      </c>
      <c r="J240" s="18"/>
      <c r="K240" s="18">
        <v>889.29</v>
      </c>
      <c r="L240" s="19">
        <f t="shared" si="4"/>
        <v>41425.01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72929.679999999993</v>
      </c>
      <c r="I244" s="18">
        <v>6631.62</v>
      </c>
      <c r="J244" s="18"/>
      <c r="K244" s="18"/>
      <c r="L244" s="19">
        <f t="shared" si="4"/>
        <v>79561.299999999988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50956.09</v>
      </c>
      <c r="G247" s="41">
        <f t="shared" si="5"/>
        <v>31719.81</v>
      </c>
      <c r="H247" s="41">
        <f t="shared" si="5"/>
        <v>998908.69</v>
      </c>
      <c r="I247" s="41">
        <f t="shared" si="5"/>
        <v>6843.8099999999995</v>
      </c>
      <c r="J247" s="41">
        <f t="shared" si="5"/>
        <v>7599.46</v>
      </c>
      <c r="K247" s="41">
        <f t="shared" si="5"/>
        <v>889.29</v>
      </c>
      <c r="L247" s="41">
        <f t="shared" si="5"/>
        <v>1096917.1500000001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>
        <v>2500</v>
      </c>
      <c r="G253" s="18">
        <v>219.38</v>
      </c>
      <c r="H253" s="18">
        <v>1982.63</v>
      </c>
      <c r="I253" s="18">
        <v>1081.26</v>
      </c>
      <c r="J253" s="18"/>
      <c r="K253" s="18">
        <v>230</v>
      </c>
      <c r="L253" s="19">
        <f t="shared" si="6"/>
        <v>6013.27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2500</v>
      </c>
      <c r="G256" s="41">
        <f t="shared" si="7"/>
        <v>219.38</v>
      </c>
      <c r="H256" s="41">
        <f t="shared" si="7"/>
        <v>1982.63</v>
      </c>
      <c r="I256" s="41">
        <f t="shared" si="7"/>
        <v>1081.26</v>
      </c>
      <c r="J256" s="41">
        <f t="shared" si="7"/>
        <v>0</v>
      </c>
      <c r="K256" s="41">
        <f t="shared" si="7"/>
        <v>230</v>
      </c>
      <c r="L256" s="41">
        <f>SUM(F256:K256)</f>
        <v>6013.27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631258.02999999991</v>
      </c>
      <c r="G257" s="41">
        <f t="shared" si="8"/>
        <v>312126.56999999995</v>
      </c>
      <c r="H257" s="41">
        <f t="shared" si="8"/>
        <v>1846867.38</v>
      </c>
      <c r="I257" s="41">
        <f t="shared" si="8"/>
        <v>106547.61</v>
      </c>
      <c r="J257" s="41">
        <f t="shared" si="8"/>
        <v>37859.729999999996</v>
      </c>
      <c r="K257" s="41">
        <f t="shared" si="8"/>
        <v>9165.02</v>
      </c>
      <c r="L257" s="41">
        <f t="shared" si="8"/>
        <v>2943824.3400000003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170000</v>
      </c>
      <c r="L260" s="19">
        <f>SUM(F260:K260)</f>
        <v>170000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33830</v>
      </c>
      <c r="L261" s="19">
        <f>SUM(F261:K261)</f>
        <v>33830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6000</v>
      </c>
      <c r="L266" s="19">
        <f t="shared" si="9"/>
        <v>6000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>
        <v>5559</v>
      </c>
      <c r="L268" s="19">
        <f t="shared" si="9"/>
        <v>5559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215389</v>
      </c>
      <c r="L270" s="41">
        <f t="shared" si="9"/>
        <v>215389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631258.02999999991</v>
      </c>
      <c r="G271" s="42">
        <f t="shared" si="11"/>
        <v>312126.56999999995</v>
      </c>
      <c r="H271" s="42">
        <f t="shared" si="11"/>
        <v>1846867.38</v>
      </c>
      <c r="I271" s="42">
        <f t="shared" si="11"/>
        <v>106547.61</v>
      </c>
      <c r="J271" s="42">
        <f t="shared" si="11"/>
        <v>37859.729999999996</v>
      </c>
      <c r="K271" s="42">
        <f t="shared" si="11"/>
        <v>224554.02</v>
      </c>
      <c r="L271" s="42">
        <f t="shared" si="11"/>
        <v>3159213.3400000003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42080.03</v>
      </c>
      <c r="G276" s="18">
        <v>3460.2</v>
      </c>
      <c r="H276" s="18"/>
      <c r="I276" s="18">
        <v>2381.7199999999998</v>
      </c>
      <c r="J276" s="18"/>
      <c r="K276" s="18"/>
      <c r="L276" s="19">
        <f>SUM(F276:K276)</f>
        <v>47921.95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27375.360000000001</v>
      </c>
      <c r="G277" s="18"/>
      <c r="H277" s="18"/>
      <c r="I277" s="18"/>
      <c r="J277" s="18"/>
      <c r="K277" s="18"/>
      <c r="L277" s="19">
        <f>SUM(F277:K277)</f>
        <v>27375.360000000001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>
        <v>443.7</v>
      </c>
      <c r="I281" s="18"/>
      <c r="J281" s="18"/>
      <c r="K281" s="18"/>
      <c r="L281" s="19">
        <f t="shared" ref="L281:L287" si="12">SUM(F281:K281)</f>
        <v>443.7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1800</v>
      </c>
      <c r="G282" s="18">
        <v>307.62</v>
      </c>
      <c r="H282" s="18">
        <v>1348.62</v>
      </c>
      <c r="I282" s="18"/>
      <c r="J282" s="18"/>
      <c r="K282" s="18">
        <v>3192</v>
      </c>
      <c r="L282" s="19">
        <f t="shared" si="12"/>
        <v>6648.24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71255.39</v>
      </c>
      <c r="G290" s="42">
        <f t="shared" si="13"/>
        <v>3767.8199999999997</v>
      </c>
      <c r="H290" s="42">
        <f t="shared" si="13"/>
        <v>1792.32</v>
      </c>
      <c r="I290" s="42">
        <f t="shared" si="13"/>
        <v>2381.7199999999998</v>
      </c>
      <c r="J290" s="42">
        <f t="shared" si="13"/>
        <v>0</v>
      </c>
      <c r="K290" s="42">
        <f t="shared" si="13"/>
        <v>3192</v>
      </c>
      <c r="L290" s="41">
        <f t="shared" si="13"/>
        <v>82389.25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71255.39</v>
      </c>
      <c r="G338" s="41">
        <f t="shared" si="20"/>
        <v>3767.8199999999997</v>
      </c>
      <c r="H338" s="41">
        <f t="shared" si="20"/>
        <v>1792.32</v>
      </c>
      <c r="I338" s="41">
        <f t="shared" si="20"/>
        <v>2381.7199999999998</v>
      </c>
      <c r="J338" s="41">
        <f t="shared" si="20"/>
        <v>0</v>
      </c>
      <c r="K338" s="41">
        <f t="shared" si="20"/>
        <v>3192</v>
      </c>
      <c r="L338" s="41">
        <f t="shared" si="20"/>
        <v>82389.25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>
        <v>1084.94</v>
      </c>
      <c r="L350" s="19">
        <f t="shared" si="21"/>
        <v>1084.94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1084.94</v>
      </c>
      <c r="L351" s="41">
        <f>SUM(L341:L350)</f>
        <v>1084.94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71255.39</v>
      </c>
      <c r="G352" s="41">
        <f>G338</f>
        <v>3767.8199999999997</v>
      </c>
      <c r="H352" s="41">
        <f>H338</f>
        <v>1792.32</v>
      </c>
      <c r="I352" s="41">
        <f>I338</f>
        <v>2381.7199999999998</v>
      </c>
      <c r="J352" s="41">
        <f>J338</f>
        <v>0</v>
      </c>
      <c r="K352" s="47">
        <f>K338+K351</f>
        <v>4276.9400000000005</v>
      </c>
      <c r="L352" s="41">
        <f>L338+L351</f>
        <v>83474.19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/>
      <c r="G358" s="18"/>
      <c r="H358" s="18">
        <v>38647</v>
      </c>
      <c r="I358" s="18">
        <v>3221.53</v>
      </c>
      <c r="J358" s="18"/>
      <c r="K358" s="18"/>
      <c r="L358" s="13">
        <f>SUM(F358:K358)</f>
        <v>41868.53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38647</v>
      </c>
      <c r="I362" s="47">
        <f t="shared" si="22"/>
        <v>3221.53</v>
      </c>
      <c r="J362" s="47">
        <f t="shared" si="22"/>
        <v>0</v>
      </c>
      <c r="K362" s="47">
        <f t="shared" si="22"/>
        <v>0</v>
      </c>
      <c r="L362" s="47">
        <f t="shared" si="22"/>
        <v>41868.53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3221.53</v>
      </c>
      <c r="G367" s="18"/>
      <c r="H367" s="18"/>
      <c r="I367" s="56">
        <f>SUM(F367:H367)</f>
        <v>3221.53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/>
      <c r="G368" s="63"/>
      <c r="H368" s="63"/>
      <c r="I368" s="56">
        <f>SUM(F368:H368)</f>
        <v>0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3221.53</v>
      </c>
      <c r="G369" s="47">
        <f>SUM(G367:G368)</f>
        <v>0</v>
      </c>
      <c r="H369" s="47">
        <f>SUM(H367:H368)</f>
        <v>0</v>
      </c>
      <c r="I369" s="47">
        <f>SUM(I367:I368)</f>
        <v>3221.53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>
        <v>9.1300000000000008</v>
      </c>
      <c r="I389" s="18"/>
      <c r="J389" s="24" t="s">
        <v>289</v>
      </c>
      <c r="K389" s="24" t="s">
        <v>289</v>
      </c>
      <c r="L389" s="56">
        <f t="shared" si="25"/>
        <v>9.1300000000000008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>
        <v>6000</v>
      </c>
      <c r="H392" s="18">
        <v>4.83</v>
      </c>
      <c r="I392" s="18"/>
      <c r="J392" s="24" t="s">
        <v>289</v>
      </c>
      <c r="K392" s="24" t="s">
        <v>289</v>
      </c>
      <c r="L392" s="56">
        <f t="shared" si="25"/>
        <v>6004.83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6000</v>
      </c>
      <c r="H393" s="139">
        <f>SUM(H387:H392)</f>
        <v>13.96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6013.96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>
        <v>38.9</v>
      </c>
      <c r="I398" s="18"/>
      <c r="J398" s="24" t="s">
        <v>289</v>
      </c>
      <c r="K398" s="24" t="s">
        <v>289</v>
      </c>
      <c r="L398" s="56">
        <f t="shared" si="26"/>
        <v>38.9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>
        <v>4.03</v>
      </c>
      <c r="I399" s="18"/>
      <c r="J399" s="24" t="s">
        <v>289</v>
      </c>
      <c r="K399" s="24" t="s">
        <v>289</v>
      </c>
      <c r="L399" s="56">
        <f t="shared" si="26"/>
        <v>4.03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>
        <v>2.99</v>
      </c>
      <c r="I400" s="18">
        <v>1970</v>
      </c>
      <c r="J400" s="24" t="s">
        <v>289</v>
      </c>
      <c r="K400" s="24" t="s">
        <v>289</v>
      </c>
      <c r="L400" s="56">
        <f t="shared" si="26"/>
        <v>1972.99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45.92</v>
      </c>
      <c r="I401" s="47">
        <f>SUM(I395:I400)</f>
        <v>1970</v>
      </c>
      <c r="J401" s="45" t="s">
        <v>289</v>
      </c>
      <c r="K401" s="45" t="s">
        <v>289</v>
      </c>
      <c r="L401" s="47">
        <f>SUM(L395:L400)</f>
        <v>2015.92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6000</v>
      </c>
      <c r="H408" s="47">
        <f>H393+H401+H407</f>
        <v>59.88</v>
      </c>
      <c r="I408" s="47">
        <f>I393+I401+I407</f>
        <v>1970</v>
      </c>
      <c r="J408" s="24" t="s">
        <v>289</v>
      </c>
      <c r="K408" s="24" t="s">
        <v>289</v>
      </c>
      <c r="L408" s="47">
        <f>L393+L401+L407</f>
        <v>8029.88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>
        <v>616.5</v>
      </c>
      <c r="I426" s="18"/>
      <c r="J426" s="18"/>
      <c r="K426" s="18"/>
      <c r="L426" s="56">
        <f t="shared" si="29"/>
        <v>616.5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616.5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616.5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616.5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616.5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>
        <v>1353.5</v>
      </c>
      <c r="H441" s="18"/>
      <c r="I441" s="56">
        <f t="shared" si="33"/>
        <v>1353.5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>
        <v>58182.48</v>
      </c>
      <c r="G442" s="18">
        <v>178374.68</v>
      </c>
      <c r="H442" s="18"/>
      <c r="I442" s="56">
        <f t="shared" si="33"/>
        <v>236557.16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58182.48</v>
      </c>
      <c r="G446" s="13">
        <f>SUM(G439:G445)</f>
        <v>179728.18</v>
      </c>
      <c r="H446" s="13">
        <f>SUM(H439:H445)</f>
        <v>0</v>
      </c>
      <c r="I446" s="13">
        <f>SUM(I439:I445)</f>
        <v>237910.66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58182.48</v>
      </c>
      <c r="G459" s="18">
        <f>1353.5+178374.68</f>
        <v>179728.18</v>
      </c>
      <c r="H459" s="18"/>
      <c r="I459" s="56">
        <f t="shared" si="34"/>
        <v>237910.66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58182.48</v>
      </c>
      <c r="G460" s="83">
        <f>SUM(G454:G459)</f>
        <v>179728.18</v>
      </c>
      <c r="H460" s="83">
        <f>SUM(H454:H459)</f>
        <v>0</v>
      </c>
      <c r="I460" s="83">
        <f>SUM(I454:I459)</f>
        <v>237910.66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58182.48</v>
      </c>
      <c r="G461" s="42">
        <f>G452+G460</f>
        <v>179728.18</v>
      </c>
      <c r="H461" s="42">
        <f>H452+H460</f>
        <v>0</v>
      </c>
      <c r="I461" s="42">
        <f>I452+I460</f>
        <v>237910.66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277750.34000000003</v>
      </c>
      <c r="G465" s="18">
        <v>2346.9899999999998</v>
      </c>
      <c r="H465" s="18">
        <v>0</v>
      </c>
      <c r="I465" s="18"/>
      <c r="J465" s="18">
        <v>230497.28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3010996.26</v>
      </c>
      <c r="G468" s="18">
        <v>42618.09</v>
      </c>
      <c r="H468" s="18">
        <v>83474.19</v>
      </c>
      <c r="I468" s="18"/>
      <c r="J468" s="18">
        <f>1970+6059.88</f>
        <v>8029.88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3010996.26</v>
      </c>
      <c r="G470" s="53">
        <f>SUM(G468:G469)</f>
        <v>42618.09</v>
      </c>
      <c r="H470" s="53">
        <f>SUM(H468:H469)</f>
        <v>83474.19</v>
      </c>
      <c r="I470" s="53">
        <f>SUM(I468:I469)</f>
        <v>0</v>
      </c>
      <c r="J470" s="53">
        <f>SUM(J468:J469)</f>
        <v>8029.88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3159213.34</v>
      </c>
      <c r="G472" s="18">
        <v>41868.53</v>
      </c>
      <c r="H472" s="18">
        <v>83474.19</v>
      </c>
      <c r="I472" s="18"/>
      <c r="J472" s="18">
        <v>616.5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3159213.34</v>
      </c>
      <c r="G474" s="53">
        <f>SUM(G472:G473)</f>
        <v>41868.53</v>
      </c>
      <c r="H474" s="53">
        <f>SUM(H472:H473)</f>
        <v>83474.19</v>
      </c>
      <c r="I474" s="53">
        <f>SUM(I472:I473)</f>
        <v>0</v>
      </c>
      <c r="J474" s="53">
        <f>SUM(J472:J473)</f>
        <v>616.5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129533.25999999978</v>
      </c>
      <c r="G476" s="53">
        <f>(G465+G470)- G474</f>
        <v>3096.5499999999956</v>
      </c>
      <c r="H476" s="53">
        <f>(H465+H470)- H474</f>
        <v>0</v>
      </c>
      <c r="I476" s="53">
        <f>(I465+I470)- I474</f>
        <v>0</v>
      </c>
      <c r="J476" s="53">
        <f>(J465+J470)- J474</f>
        <v>237910.66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15</v>
      </c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912</v>
      </c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913</v>
      </c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2600000</v>
      </c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4.38</v>
      </c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850000</v>
      </c>
      <c r="G495" s="18"/>
      <c r="H495" s="18"/>
      <c r="I495" s="18"/>
      <c r="J495" s="18"/>
      <c r="K495" s="53">
        <f>SUM(F495:J495)</f>
        <v>850000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170000</v>
      </c>
      <c r="G497" s="18"/>
      <c r="H497" s="18"/>
      <c r="I497" s="18"/>
      <c r="J497" s="18"/>
      <c r="K497" s="53">
        <f t="shared" si="35"/>
        <v>170000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f>F495-F497</f>
        <v>680000</v>
      </c>
      <c r="G498" s="204"/>
      <c r="H498" s="204"/>
      <c r="I498" s="204"/>
      <c r="J498" s="204"/>
      <c r="K498" s="205">
        <f t="shared" si="35"/>
        <v>680000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f>94265-33830</f>
        <v>60435</v>
      </c>
      <c r="G499" s="18"/>
      <c r="H499" s="18"/>
      <c r="I499" s="18"/>
      <c r="J499" s="18"/>
      <c r="K499" s="53">
        <f t="shared" si="35"/>
        <v>60435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740435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740435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170000</v>
      </c>
      <c r="G501" s="204"/>
      <c r="H501" s="204"/>
      <c r="I501" s="204"/>
      <c r="J501" s="204"/>
      <c r="K501" s="205">
        <f t="shared" si="35"/>
        <v>170000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26350</v>
      </c>
      <c r="G502" s="18"/>
      <c r="H502" s="18"/>
      <c r="I502" s="18"/>
      <c r="J502" s="18"/>
      <c r="K502" s="53">
        <f t="shared" si="35"/>
        <v>26350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196350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196350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>
        <v>14731.5</v>
      </c>
      <c r="G507" s="144"/>
      <c r="H507" s="144">
        <v>972</v>
      </c>
      <c r="I507" s="144">
        <f>F507-H507</f>
        <v>13759.5</v>
      </c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>
        <v>33000</v>
      </c>
      <c r="G511" s="24" t="s">
        <v>289</v>
      </c>
      <c r="H511" s="18">
        <v>33000</v>
      </c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>
        <v>3040407</v>
      </c>
      <c r="G513" s="24" t="s">
        <v>289</v>
      </c>
      <c r="H513" s="18">
        <v>2964611</v>
      </c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>
        <v>32645</v>
      </c>
      <c r="G514" s="24" t="s">
        <v>289</v>
      </c>
      <c r="H514" s="18">
        <v>39244</v>
      </c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3106052</v>
      </c>
      <c r="G517" s="42">
        <f>SUM(G511:G516)</f>
        <v>0</v>
      </c>
      <c r="H517" s="42">
        <f>SUM(H511:H516)</f>
        <v>3036855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67656.800000000003</v>
      </c>
      <c r="G521" s="18">
        <v>26693.13</v>
      </c>
      <c r="H521" s="18">
        <v>495.79</v>
      </c>
      <c r="I521" s="18">
        <v>458.19</v>
      </c>
      <c r="J521" s="18"/>
      <c r="K521" s="18">
        <v>130</v>
      </c>
      <c r="L521" s="88">
        <f>SUM(F521:K521)</f>
        <v>95433.91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>
        <v>93679.79</v>
      </c>
      <c r="I522" s="18"/>
      <c r="J522" s="18"/>
      <c r="K522" s="18"/>
      <c r="L522" s="88">
        <f>SUM(F522:K522)</f>
        <v>93679.79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50010.59</v>
      </c>
      <c r="G523" s="18">
        <v>31646.11</v>
      </c>
      <c r="H523" s="18">
        <f>57747.48+1400.29</f>
        <v>59147.770000000004</v>
      </c>
      <c r="I523" s="18"/>
      <c r="J523" s="18">
        <v>7599.46</v>
      </c>
      <c r="K523" s="18"/>
      <c r="L523" s="88">
        <f>SUM(F523:K523)</f>
        <v>148403.93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117667.39</v>
      </c>
      <c r="G524" s="108">
        <f t="shared" ref="G524:L524" si="36">SUM(G521:G523)</f>
        <v>58339.240000000005</v>
      </c>
      <c r="H524" s="108">
        <f t="shared" si="36"/>
        <v>153323.34999999998</v>
      </c>
      <c r="I524" s="108">
        <f t="shared" si="36"/>
        <v>458.19</v>
      </c>
      <c r="J524" s="108">
        <f t="shared" si="36"/>
        <v>7599.46</v>
      </c>
      <c r="K524" s="108">
        <f t="shared" si="36"/>
        <v>130</v>
      </c>
      <c r="L524" s="89">
        <f t="shared" si="36"/>
        <v>337517.63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/>
      <c r="G526" s="18"/>
      <c r="H526" s="18">
        <f>111338.98+78.6+2200</f>
        <v>113617.58</v>
      </c>
      <c r="I526" s="18"/>
      <c r="J526" s="18">
        <v>2496.7800000000002</v>
      </c>
      <c r="K526" s="18"/>
      <c r="L526" s="88">
        <f>SUM(F526:K526)</f>
        <v>116114.36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>
        <f>52.91+3263.04+395+1952.5</f>
        <v>5663.45</v>
      </c>
      <c r="I527" s="18"/>
      <c r="J527" s="18"/>
      <c r="K527" s="18"/>
      <c r="L527" s="88">
        <f>SUM(F527:K527)</f>
        <v>5663.45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>
        <f>9507.49</f>
        <v>9507.49</v>
      </c>
      <c r="I528" s="18"/>
      <c r="J528" s="18"/>
      <c r="K528" s="18"/>
      <c r="L528" s="88">
        <f>SUM(F528:K528)</f>
        <v>9507.49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128788.52</v>
      </c>
      <c r="I529" s="89">
        <f t="shared" si="37"/>
        <v>0</v>
      </c>
      <c r="J529" s="89">
        <f t="shared" si="37"/>
        <v>2496.7800000000002</v>
      </c>
      <c r="K529" s="89">
        <f t="shared" si="37"/>
        <v>0</v>
      </c>
      <c r="L529" s="89">
        <f t="shared" si="37"/>
        <v>131285.29999999999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7054.82</v>
      </c>
      <c r="I531" s="18"/>
      <c r="J531" s="18"/>
      <c r="K531" s="18"/>
      <c r="L531" s="88">
        <f>SUM(F531:K531)</f>
        <v>7054.82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>
        <v>5751.22</v>
      </c>
      <c r="I532" s="18"/>
      <c r="J532" s="18"/>
      <c r="K532" s="18"/>
      <c r="L532" s="88">
        <f>SUM(F532:K532)</f>
        <v>5751.22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>
        <v>11981.7</v>
      </c>
      <c r="I533" s="18"/>
      <c r="J533" s="18"/>
      <c r="K533" s="18"/>
      <c r="L533" s="88">
        <f>SUM(F533:K533)</f>
        <v>11981.7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24787.74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24787.74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f>203.76</f>
        <v>203.76</v>
      </c>
      <c r="I541" s="18"/>
      <c r="J541" s="18"/>
      <c r="K541" s="18"/>
      <c r="L541" s="88">
        <f>SUM(F541:K541)</f>
        <v>203.76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19755</v>
      </c>
      <c r="I542" s="18"/>
      <c r="J542" s="18"/>
      <c r="K542" s="18"/>
      <c r="L542" s="88">
        <f>SUM(F542:K542)</f>
        <v>19755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15210</v>
      </c>
      <c r="I543" s="18"/>
      <c r="J543" s="18"/>
      <c r="K543" s="18"/>
      <c r="L543" s="88">
        <f>SUM(F543:K543)</f>
        <v>15210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35168.759999999995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35168.759999999995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117667.39</v>
      </c>
      <c r="G545" s="89">
        <f t="shared" ref="G545:L545" si="41">G524+G529+G534+G539+G544</f>
        <v>58339.240000000005</v>
      </c>
      <c r="H545" s="89">
        <f t="shared" si="41"/>
        <v>342068.37</v>
      </c>
      <c r="I545" s="89">
        <f t="shared" si="41"/>
        <v>458.19</v>
      </c>
      <c r="J545" s="89">
        <f t="shared" si="41"/>
        <v>10096.24</v>
      </c>
      <c r="K545" s="89">
        <f t="shared" si="41"/>
        <v>130</v>
      </c>
      <c r="L545" s="89">
        <f t="shared" si="41"/>
        <v>528759.42999999993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95433.91</v>
      </c>
      <c r="G549" s="87">
        <f>L526</f>
        <v>116114.36</v>
      </c>
      <c r="H549" s="87">
        <f>L531</f>
        <v>7054.82</v>
      </c>
      <c r="I549" s="87">
        <f>L536</f>
        <v>0</v>
      </c>
      <c r="J549" s="87">
        <f>L541</f>
        <v>203.76</v>
      </c>
      <c r="K549" s="87">
        <f>SUM(F549:J549)</f>
        <v>218806.85000000003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93679.79</v>
      </c>
      <c r="G550" s="87">
        <f>L527</f>
        <v>5663.45</v>
      </c>
      <c r="H550" s="87">
        <f>L532</f>
        <v>5751.22</v>
      </c>
      <c r="I550" s="87">
        <f>L537</f>
        <v>0</v>
      </c>
      <c r="J550" s="87">
        <f>L542</f>
        <v>19755</v>
      </c>
      <c r="K550" s="87">
        <f>SUM(F550:J550)</f>
        <v>124849.45999999999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148403.93</v>
      </c>
      <c r="G551" s="87">
        <f>L528</f>
        <v>9507.49</v>
      </c>
      <c r="H551" s="87">
        <f>L533</f>
        <v>11981.7</v>
      </c>
      <c r="I551" s="87">
        <f>L538</f>
        <v>0</v>
      </c>
      <c r="J551" s="87">
        <f>L543</f>
        <v>15210</v>
      </c>
      <c r="K551" s="87">
        <f>SUM(F551:J551)</f>
        <v>185103.12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337517.63</v>
      </c>
      <c r="G552" s="89">
        <f t="shared" si="42"/>
        <v>131285.29999999999</v>
      </c>
      <c r="H552" s="89">
        <f t="shared" si="42"/>
        <v>24787.74</v>
      </c>
      <c r="I552" s="89">
        <f t="shared" si="42"/>
        <v>0</v>
      </c>
      <c r="J552" s="89">
        <f t="shared" si="42"/>
        <v>35168.759999999995</v>
      </c>
      <c r="K552" s="89">
        <f t="shared" si="42"/>
        <v>528759.43000000005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376713.52</v>
      </c>
      <c r="H575" s="18">
        <v>818019.42</v>
      </c>
      <c r="I575" s="87">
        <f>SUM(F575:H575)</f>
        <v>1194732.94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>
        <v>1362</v>
      </c>
      <c r="I582" s="87">
        <f t="shared" si="47"/>
        <v>1362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92741.57</v>
      </c>
      <c r="I591" s="18">
        <f>51930.65-I592</f>
        <v>32175.65</v>
      </c>
      <c r="J591" s="18">
        <f>79561.3-J592</f>
        <v>64351.3</v>
      </c>
      <c r="K591" s="104">
        <f t="shared" ref="K591:K597" si="48">SUM(H591:J591)</f>
        <v>189268.52000000002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/>
      <c r="I592" s="18">
        <v>19755</v>
      </c>
      <c r="J592" s="18">
        <v>15210</v>
      </c>
      <c r="K592" s="104">
        <f t="shared" si="48"/>
        <v>34965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92741.57</v>
      </c>
      <c r="I598" s="108">
        <f>SUM(I591:I597)</f>
        <v>51930.65</v>
      </c>
      <c r="J598" s="108">
        <f>SUM(J591:J597)</f>
        <v>79561.3</v>
      </c>
      <c r="K598" s="108">
        <f>SUM(K591:K597)</f>
        <v>224233.52000000002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f>37859.73-J604</f>
        <v>30260.270000000004</v>
      </c>
      <c r="I604" s="18"/>
      <c r="J604" s="18">
        <v>7599.46</v>
      </c>
      <c r="K604" s="104">
        <f>SUM(H604:J604)</f>
        <v>37859.730000000003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30260.270000000004</v>
      </c>
      <c r="I605" s="108">
        <f>SUM(I602:I604)</f>
        <v>0</v>
      </c>
      <c r="J605" s="108">
        <f>SUM(J602:J604)</f>
        <v>7599.46</v>
      </c>
      <c r="K605" s="108">
        <f>SUM(K602:K604)</f>
        <v>37859.730000000003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v>2596.2600000000002</v>
      </c>
      <c r="G611" s="18">
        <v>325.14999999999998</v>
      </c>
      <c r="H611" s="18">
        <v>495.79</v>
      </c>
      <c r="I611" s="18"/>
      <c r="J611" s="18"/>
      <c r="K611" s="18">
        <v>130</v>
      </c>
      <c r="L611" s="88">
        <f>SUM(F611:K611)</f>
        <v>3547.2000000000003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2596.2600000000002</v>
      </c>
      <c r="G614" s="108">
        <f t="shared" si="49"/>
        <v>325.14999999999998</v>
      </c>
      <c r="H614" s="108">
        <f t="shared" si="49"/>
        <v>495.79</v>
      </c>
      <c r="I614" s="108">
        <f t="shared" si="49"/>
        <v>0</v>
      </c>
      <c r="J614" s="108">
        <f t="shared" si="49"/>
        <v>0</v>
      </c>
      <c r="K614" s="108">
        <f t="shared" si="49"/>
        <v>130</v>
      </c>
      <c r="L614" s="89">
        <f t="shared" si="49"/>
        <v>3547.2000000000003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940636.67</v>
      </c>
      <c r="H617" s="109">
        <f>SUM(F52)</f>
        <v>940636.67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4389.41</v>
      </c>
      <c r="H618" s="109">
        <f>SUM(G52)</f>
        <v>4389.41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18614.89</v>
      </c>
      <c r="H619" s="109">
        <f>SUM(H52)</f>
        <v>18614.89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237910.66</v>
      </c>
      <c r="H621" s="109">
        <f>SUM(J52)</f>
        <v>237910.66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129533.26</v>
      </c>
      <c r="H622" s="109">
        <f>F476</f>
        <v>129533.25999999978</v>
      </c>
      <c r="I622" s="121" t="s">
        <v>101</v>
      </c>
      <c r="J622" s="109">
        <f t="shared" ref="J622:J655" si="50">G622-H622</f>
        <v>2.1827872842550278E-10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3096.55</v>
      </c>
      <c r="H623" s="109">
        <f>G476</f>
        <v>3096.5499999999956</v>
      </c>
      <c r="I623" s="121" t="s">
        <v>102</v>
      </c>
      <c r="J623" s="109">
        <f t="shared" si="50"/>
        <v>4.5474735088646412E-12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237910.66</v>
      </c>
      <c r="H626" s="109">
        <f>J476</f>
        <v>237910.66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3010996.26</v>
      </c>
      <c r="H627" s="104">
        <f>SUM(F468)</f>
        <v>3010996.26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42618.09</v>
      </c>
      <c r="H628" s="104">
        <f>SUM(G468)</f>
        <v>42618.09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83474.19</v>
      </c>
      <c r="H629" s="104">
        <f>SUM(H468)</f>
        <v>83474.19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8029.88</v>
      </c>
      <c r="H631" s="104">
        <f>SUM(J468)</f>
        <v>8029.88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3159213.3400000003</v>
      </c>
      <c r="H632" s="104">
        <f>SUM(F472)</f>
        <v>3159213.34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83474.19</v>
      </c>
      <c r="H633" s="104">
        <f>SUM(H472)</f>
        <v>83474.19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3221.53</v>
      </c>
      <c r="H634" s="104">
        <f>I369</f>
        <v>3221.53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41868.53</v>
      </c>
      <c r="H635" s="104">
        <f>SUM(G472)</f>
        <v>41868.53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8029.88</v>
      </c>
      <c r="H637" s="164">
        <f>SUM(J468)</f>
        <v>8029.88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616.5</v>
      </c>
      <c r="H638" s="164">
        <f>SUM(J472)</f>
        <v>616.5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58182.48</v>
      </c>
      <c r="H639" s="104">
        <f>SUM(F461)</f>
        <v>58182.48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179728.18</v>
      </c>
      <c r="H640" s="104">
        <f>SUM(G461)</f>
        <v>179728.18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237910.66</v>
      </c>
      <c r="H642" s="104">
        <f>SUM(I461)</f>
        <v>237910.66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59.88</v>
      </c>
      <c r="H644" s="104">
        <f>H408</f>
        <v>59.88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6000</v>
      </c>
      <c r="H645" s="104">
        <f>G408</f>
        <v>6000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8029.88</v>
      </c>
      <c r="H646" s="104">
        <f>L408</f>
        <v>8029.88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224233.52000000002</v>
      </c>
      <c r="H647" s="104">
        <f>L208+L226+L244</f>
        <v>224233.52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37859.730000000003</v>
      </c>
      <c r="H648" s="104">
        <f>(J257+J338)-(J255+J336)</f>
        <v>37859.729999999996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92741.57</v>
      </c>
      <c r="H649" s="104">
        <f>H598</f>
        <v>92741.57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51930.649999999994</v>
      </c>
      <c r="H650" s="104">
        <f>I598</f>
        <v>51930.65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79561.299999999988</v>
      </c>
      <c r="H651" s="104">
        <f>J598</f>
        <v>79561.3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6000</v>
      </c>
      <c r="H655" s="104">
        <f>K266+K347</f>
        <v>6000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1415783.6400000001</v>
      </c>
      <c r="G660" s="19">
        <f>(L229+L309+L359)</f>
        <v>549368.06000000006</v>
      </c>
      <c r="H660" s="19">
        <f>(L247+L328+L360)</f>
        <v>1096917.1500000001</v>
      </c>
      <c r="I660" s="19">
        <f>SUM(F660:H660)</f>
        <v>3062068.8500000006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20933.95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20933.95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92741.57</v>
      </c>
      <c r="G662" s="19">
        <f>(L226+L306)-(J226+J306)</f>
        <v>51930.649999999994</v>
      </c>
      <c r="H662" s="19">
        <f>(L244+L325)-(J244+J325)</f>
        <v>79561.299999999988</v>
      </c>
      <c r="I662" s="19">
        <f>SUM(F662:H662)</f>
        <v>224233.52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33807.47</v>
      </c>
      <c r="G663" s="199">
        <f>SUM(G575:G587)+SUM(I602:I604)+L612</f>
        <v>376713.52</v>
      </c>
      <c r="H663" s="199">
        <f>SUM(H575:H587)+SUM(J602:J604)+L613</f>
        <v>826980.88</v>
      </c>
      <c r="I663" s="19">
        <f>SUM(F663:H663)</f>
        <v>1237501.8700000001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1268300.6500000001</v>
      </c>
      <c r="G664" s="19">
        <f>G660-SUM(G661:G663)</f>
        <v>120723.89000000001</v>
      </c>
      <c r="H664" s="19">
        <f>H660-SUM(H661:H663)</f>
        <v>190374.9700000002</v>
      </c>
      <c r="I664" s="19">
        <f>I660-SUM(I661:I663)</f>
        <v>1579399.5100000005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94.85</v>
      </c>
      <c r="G665" s="248"/>
      <c r="H665" s="248"/>
      <c r="I665" s="19">
        <f>SUM(F665:H665)</f>
        <v>94.85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13371.65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16651.55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>
        <v>-120723.89</v>
      </c>
      <c r="H669" s="18">
        <v>-190374.97</v>
      </c>
      <c r="I669" s="19">
        <f>SUM(F669:H669)</f>
        <v>-311098.86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13371.65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13371.65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16" workbookViewId="0">
      <selection activeCell="C39" sqref="C39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Milan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369103.11</v>
      </c>
      <c r="C9" s="229">
        <f>'DOE25'!G197+'DOE25'!G215+'DOE25'!G233+'DOE25'!G276+'DOE25'!G295+'DOE25'!G314</f>
        <v>164982.13</v>
      </c>
    </row>
    <row r="10" spans="1:3" x14ac:dyDescent="0.2">
      <c r="A10" t="s">
        <v>779</v>
      </c>
      <c r="B10" s="240">
        <v>351386.51</v>
      </c>
      <c r="C10" s="240">
        <v>163534.43</v>
      </c>
    </row>
    <row r="11" spans="1:3" x14ac:dyDescent="0.2">
      <c r="A11" t="s">
        <v>780</v>
      </c>
      <c r="B11" s="240">
        <v>11084.81</v>
      </c>
      <c r="C11" s="240">
        <v>905.79</v>
      </c>
    </row>
    <row r="12" spans="1:3" x14ac:dyDescent="0.2">
      <c r="A12" t="s">
        <v>781</v>
      </c>
      <c r="B12" s="240">
        <v>6631.79</v>
      </c>
      <c r="C12" s="240">
        <v>541.91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369103.11</v>
      </c>
      <c r="C13" s="231">
        <f>SUM(C10:C12)</f>
        <v>164982.13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114017.49</v>
      </c>
      <c r="C18" s="229">
        <f>'DOE25'!G198+'DOE25'!G216+'DOE25'!G234+'DOE25'!G277+'DOE25'!G296+'DOE25'!G315</f>
        <v>57778.96</v>
      </c>
    </row>
    <row r="19" spans="1:3" x14ac:dyDescent="0.2">
      <c r="A19" t="s">
        <v>779</v>
      </c>
      <c r="B19" s="240">
        <v>88401</v>
      </c>
      <c r="C19" s="240">
        <v>55663.82</v>
      </c>
    </row>
    <row r="20" spans="1:3" x14ac:dyDescent="0.2">
      <c r="A20" t="s">
        <v>780</v>
      </c>
      <c r="B20" s="240">
        <v>24243.25</v>
      </c>
      <c r="C20" s="240">
        <v>2001.75</v>
      </c>
    </row>
    <row r="21" spans="1:3" x14ac:dyDescent="0.2">
      <c r="A21" t="s">
        <v>781</v>
      </c>
      <c r="B21" s="240">
        <v>1373.24</v>
      </c>
      <c r="C21" s="240">
        <v>113.39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114017.49</v>
      </c>
      <c r="C22" s="231">
        <f>SUM(C19:C21)</f>
        <v>57778.96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3649.9000000000005</v>
      </c>
      <c r="C36" s="235">
        <f>'DOE25'!G200+'DOE25'!G218+'DOE25'!G236+'DOE25'!G279+'DOE25'!G298+'DOE25'!G317</f>
        <v>560.28</v>
      </c>
    </row>
    <row r="37" spans="1:3" x14ac:dyDescent="0.2">
      <c r="A37" t="s">
        <v>779</v>
      </c>
      <c r="B37" s="240">
        <v>2392.02</v>
      </c>
      <c r="C37" s="240">
        <v>451.87</v>
      </c>
    </row>
    <row r="38" spans="1:3" x14ac:dyDescent="0.2">
      <c r="A38" t="s">
        <v>780</v>
      </c>
      <c r="B38" s="240">
        <v>1257.8800000000001</v>
      </c>
      <c r="C38" s="240">
        <v>108.41</v>
      </c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3649.9</v>
      </c>
      <c r="C40" s="231">
        <f>SUM(C37:C39)</f>
        <v>560.28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B43" sqref="B43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Milan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2028766.97</v>
      </c>
      <c r="D5" s="20">
        <f>SUM('DOE25'!L197:L200)+SUM('DOE25'!L215:L218)+SUM('DOE25'!L233:L236)-F5-G5</f>
        <v>2002064.28</v>
      </c>
      <c r="E5" s="243"/>
      <c r="F5" s="255">
        <f>SUM('DOE25'!J197:J200)+SUM('DOE25'!J215:J218)+SUM('DOE25'!J233:J236)</f>
        <v>26372.69</v>
      </c>
      <c r="G5" s="53">
        <f>SUM('DOE25'!K197:K200)+SUM('DOE25'!K215:K218)+SUM('DOE25'!K233:K236)</f>
        <v>330</v>
      </c>
      <c r="H5" s="259"/>
    </row>
    <row r="6" spans="1:9" x14ac:dyDescent="0.2">
      <c r="A6" s="32">
        <v>2100</v>
      </c>
      <c r="B6" t="s">
        <v>801</v>
      </c>
      <c r="C6" s="245">
        <f t="shared" si="0"/>
        <v>164546.15</v>
      </c>
      <c r="D6" s="20">
        <f>'DOE25'!L202+'DOE25'!L220+'DOE25'!L238-F6-G6</f>
        <v>162049.37</v>
      </c>
      <c r="E6" s="243"/>
      <c r="F6" s="255">
        <f>'DOE25'!J202+'DOE25'!J220+'DOE25'!J238</f>
        <v>2496.7800000000002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54249.030000000006</v>
      </c>
      <c r="D7" s="20">
        <f>'DOE25'!L203+'DOE25'!L221+'DOE25'!L239-F7-G7</f>
        <v>46664.030000000006</v>
      </c>
      <c r="E7" s="243"/>
      <c r="F7" s="255">
        <f>'DOE25'!J203+'DOE25'!J221+'DOE25'!J239</f>
        <v>6829</v>
      </c>
      <c r="G7" s="53">
        <f>'DOE25'!K203+'DOE25'!K221+'DOE25'!K239</f>
        <v>756</v>
      </c>
      <c r="H7" s="259"/>
    </row>
    <row r="8" spans="1:9" x14ac:dyDescent="0.2">
      <c r="A8" s="32">
        <v>2300</v>
      </c>
      <c r="B8" t="s">
        <v>802</v>
      </c>
      <c r="C8" s="245">
        <f t="shared" si="0"/>
        <v>94363.060000000012</v>
      </c>
      <c r="D8" s="243"/>
      <c r="E8" s="20">
        <f>'DOE25'!L204+'DOE25'!L222+'DOE25'!L240-F8-G8-D9-D11</f>
        <v>91494.390000000014</v>
      </c>
      <c r="F8" s="255">
        <f>'DOE25'!J204+'DOE25'!J222+'DOE25'!J240</f>
        <v>0</v>
      </c>
      <c r="G8" s="53">
        <f>'DOE25'!K204+'DOE25'!K222+'DOE25'!K240</f>
        <v>2868.67</v>
      </c>
      <c r="H8" s="259"/>
    </row>
    <row r="9" spans="1:9" x14ac:dyDescent="0.2">
      <c r="A9" s="32">
        <v>2310</v>
      </c>
      <c r="B9" t="s">
        <v>818</v>
      </c>
      <c r="C9" s="245">
        <f t="shared" si="0"/>
        <v>14946.05</v>
      </c>
      <c r="D9" s="244">
        <v>14946.05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4637.1499999999996</v>
      </c>
      <c r="D10" s="243"/>
      <c r="E10" s="244">
        <f>4200+437.15</f>
        <v>4637.1499999999996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24319.94</v>
      </c>
      <c r="D11" s="244">
        <v>24319.94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143768.99</v>
      </c>
      <c r="D12" s="20">
        <f>'DOE25'!L205+'DOE25'!L223+'DOE25'!L241-F12-G12</f>
        <v>137617.63999999998</v>
      </c>
      <c r="E12" s="243"/>
      <c r="F12" s="255">
        <f>'DOE25'!J205+'DOE25'!J223+'DOE25'!J241</f>
        <v>1171</v>
      </c>
      <c r="G12" s="53">
        <f>'DOE25'!K205+'DOE25'!K223+'DOE25'!K241</f>
        <v>4980.3500000000004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188617.36</v>
      </c>
      <c r="D14" s="20">
        <f>'DOE25'!L207+'DOE25'!L225+'DOE25'!L243-F14-G14</f>
        <v>187627.09999999998</v>
      </c>
      <c r="E14" s="243"/>
      <c r="F14" s="255">
        <f>'DOE25'!J207+'DOE25'!J225+'DOE25'!J243</f>
        <v>990.26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224233.52</v>
      </c>
      <c r="D15" s="20">
        <f>'DOE25'!L208+'DOE25'!L226+'DOE25'!L244-F15-G15</f>
        <v>224233.52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6013.27</v>
      </c>
      <c r="D19" s="20">
        <f>'DOE25'!L253-F19-G19</f>
        <v>5783.27</v>
      </c>
      <c r="E19" s="243"/>
      <c r="F19" s="255">
        <f>'DOE25'!J253</f>
        <v>0</v>
      </c>
      <c r="G19" s="53">
        <f>'DOE25'!K253</f>
        <v>230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203830</v>
      </c>
      <c r="D25" s="243"/>
      <c r="E25" s="243"/>
      <c r="F25" s="258"/>
      <c r="G25" s="256"/>
      <c r="H25" s="257">
        <f>'DOE25'!L260+'DOE25'!L261+'DOE25'!L341+'DOE25'!L342</f>
        <v>203830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38647</v>
      </c>
      <c r="D29" s="20">
        <f>'DOE25'!L358+'DOE25'!L359+'DOE25'!L360-'DOE25'!I367-F29-G29</f>
        <v>38647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82389.25</v>
      </c>
      <c r="D31" s="20">
        <f>'DOE25'!L290+'DOE25'!L309+'DOE25'!L328+'DOE25'!L333+'DOE25'!L334+'DOE25'!L335-F31-G31</f>
        <v>79197.25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3192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2923149.4499999997</v>
      </c>
      <c r="E33" s="246">
        <f>SUM(E5:E31)</f>
        <v>96131.540000000008</v>
      </c>
      <c r="F33" s="246">
        <f>SUM(F5:F31)</f>
        <v>37859.730000000003</v>
      </c>
      <c r="G33" s="246">
        <f>SUM(G5:G31)</f>
        <v>12357.02</v>
      </c>
      <c r="H33" s="246">
        <f>SUM(H5:H31)</f>
        <v>203830</v>
      </c>
    </row>
    <row r="35" spans="2:8" ht="12" thickBot="1" x14ac:dyDescent="0.25">
      <c r="B35" s="253" t="s">
        <v>847</v>
      </c>
      <c r="D35" s="254">
        <f>E33</f>
        <v>96131.540000000008</v>
      </c>
      <c r="E35" s="249"/>
    </row>
    <row r="36" spans="2:8" ht="12" thickTop="1" x14ac:dyDescent="0.2">
      <c r="B36" t="s">
        <v>815</v>
      </c>
      <c r="D36" s="20">
        <f>D33</f>
        <v>2923149.4499999997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Milan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374507.61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377637.75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8225.16</v>
      </c>
      <c r="F11" s="95">
        <f>'DOE25'!I12</f>
        <v>0</v>
      </c>
      <c r="G11" s="95">
        <f>'DOE25'!J12</f>
        <v>1353.5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3446.31</v>
      </c>
      <c r="D12" s="95">
        <f>'DOE25'!G13</f>
        <v>809.86</v>
      </c>
      <c r="E12" s="95">
        <f>'DOE25'!H13</f>
        <v>10389.73</v>
      </c>
      <c r="F12" s="95">
        <f>'DOE25'!I13</f>
        <v>0</v>
      </c>
      <c r="G12" s="95">
        <f>'DOE25'!J13</f>
        <v>236557.16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3579.55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185045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940636.67</v>
      </c>
      <c r="D18" s="41">
        <f>SUM(D8:D17)</f>
        <v>4389.41</v>
      </c>
      <c r="E18" s="41">
        <f>SUM(E8:E17)</f>
        <v>18614.89</v>
      </c>
      <c r="F18" s="41">
        <f>SUM(F8:F17)</f>
        <v>0</v>
      </c>
      <c r="G18" s="41">
        <f>SUM(G8:G17)</f>
        <v>237910.66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8285.7999999999993</v>
      </c>
      <c r="D21" s="95">
        <f>'DOE25'!G22</f>
        <v>1292.8599999999999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568787.62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3400.99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2342.41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225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230404</v>
      </c>
      <c r="D29" s="95">
        <f>'DOE25'!G30</f>
        <v>0</v>
      </c>
      <c r="E29" s="95">
        <f>'DOE25'!H30</f>
        <v>16272.48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811103.41</v>
      </c>
      <c r="D31" s="41">
        <f>SUM(D21:D30)</f>
        <v>1292.8599999999999</v>
      </c>
      <c r="E31" s="41">
        <f>SUM(E21:E30)</f>
        <v>18614.89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842.5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10000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3096.55</v>
      </c>
      <c r="E47" s="95">
        <f>'DOE25'!H48</f>
        <v>0</v>
      </c>
      <c r="F47" s="95">
        <f>'DOE25'!I48</f>
        <v>0</v>
      </c>
      <c r="G47" s="95">
        <f>'DOE25'!J48</f>
        <v>237910.66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118690.76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129533.26</v>
      </c>
      <c r="D50" s="41">
        <f>SUM(D34:D49)</f>
        <v>3096.55</v>
      </c>
      <c r="E50" s="41">
        <f>SUM(E34:E49)</f>
        <v>0</v>
      </c>
      <c r="F50" s="41">
        <f>SUM(F34:F49)</f>
        <v>0</v>
      </c>
      <c r="G50" s="41">
        <f>SUM(G34:G49)</f>
        <v>237910.66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940636.67</v>
      </c>
      <c r="D51" s="41">
        <f>D50+D31</f>
        <v>4389.41</v>
      </c>
      <c r="E51" s="41">
        <f>E50+E31</f>
        <v>18614.89</v>
      </c>
      <c r="F51" s="41">
        <f>F50+F31</f>
        <v>0</v>
      </c>
      <c r="G51" s="41">
        <f>G50+G31</f>
        <v>237910.66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1381762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140401.16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242.66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59.88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20933.95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88985.74</v>
      </c>
      <c r="D61" s="95">
        <f>SUM('DOE25'!G98:G110)</f>
        <v>0</v>
      </c>
      <c r="E61" s="95">
        <f>SUM('DOE25'!H98:H110)</f>
        <v>5086.37</v>
      </c>
      <c r="F61" s="95">
        <f>SUM('DOE25'!I98:I110)</f>
        <v>0</v>
      </c>
      <c r="G61" s="95">
        <f>SUM('DOE25'!J98:J110)</f>
        <v>1970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229629.56</v>
      </c>
      <c r="D62" s="130">
        <f>SUM(D57:D61)</f>
        <v>20933.95</v>
      </c>
      <c r="E62" s="130">
        <f>SUM(E57:E61)</f>
        <v>5086.37</v>
      </c>
      <c r="F62" s="130">
        <f>SUM(F57:F61)</f>
        <v>0</v>
      </c>
      <c r="G62" s="130">
        <f>SUM(G57:G61)</f>
        <v>2029.88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1611391.56</v>
      </c>
      <c r="D63" s="22">
        <f>D56+D62</f>
        <v>20933.95</v>
      </c>
      <c r="E63" s="22">
        <f>E56+E62</f>
        <v>5086.37</v>
      </c>
      <c r="F63" s="22">
        <f>F56+F62</f>
        <v>0</v>
      </c>
      <c r="G63" s="22">
        <f>G56+G62</f>
        <v>2029.88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1055399.21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237834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1293233.21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76251.360000000001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6252.46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638.99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82503.820000000007</v>
      </c>
      <c r="D78" s="130">
        <f>SUM(D72:D77)</f>
        <v>638.99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1375737.03</v>
      </c>
      <c r="D81" s="130">
        <f>SUM(D79:D80)+D78+D70</f>
        <v>638.99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16995.5</v>
      </c>
      <c r="D88" s="95">
        <f>SUM('DOE25'!G153:G161)</f>
        <v>21045.149999999998</v>
      </c>
      <c r="E88" s="95">
        <f>SUM('DOE25'!H153:H161)</f>
        <v>78387.820000000007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6872.17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23867.67</v>
      </c>
      <c r="D91" s="131">
        <f>SUM(D85:D90)</f>
        <v>21045.149999999998</v>
      </c>
      <c r="E91" s="131">
        <f>SUM(E85:E90)</f>
        <v>78387.820000000007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6000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6000</v>
      </c>
    </row>
    <row r="104" spans="1:7" ht="12.75" thickTop="1" thickBot="1" x14ac:dyDescent="0.25">
      <c r="A104" s="33" t="s">
        <v>765</v>
      </c>
      <c r="C104" s="86">
        <f>C63+C81+C91+C103</f>
        <v>3010996.26</v>
      </c>
      <c r="D104" s="86">
        <f>D63+D81+D91+D103</f>
        <v>42618.09</v>
      </c>
      <c r="E104" s="86">
        <f>E63+E81+E91+E103</f>
        <v>83474.19</v>
      </c>
      <c r="F104" s="86">
        <f>F63+F81+F91+F103</f>
        <v>0</v>
      </c>
      <c r="G104" s="86">
        <f>G63+G81+G103</f>
        <v>8029.88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1718624.7000000002</v>
      </c>
      <c r="D109" s="24" t="s">
        <v>289</v>
      </c>
      <c r="E109" s="95">
        <f>('DOE25'!L276)+('DOE25'!L295)+('DOE25'!L314)</f>
        <v>47921.95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304576.65000000002</v>
      </c>
      <c r="D110" s="24" t="s">
        <v>289</v>
      </c>
      <c r="E110" s="95">
        <f>('DOE25'!L277)+('DOE25'!L296)+('DOE25'!L315)</f>
        <v>27375.360000000001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5565.6200000000008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6013.27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2034780.2400000002</v>
      </c>
      <c r="D115" s="86">
        <f>SUM(D109:D114)</f>
        <v>0</v>
      </c>
      <c r="E115" s="86">
        <f>SUM(E109:E114)</f>
        <v>75297.31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164546.15</v>
      </c>
      <c r="D118" s="24" t="s">
        <v>289</v>
      </c>
      <c r="E118" s="95">
        <f>+('DOE25'!L281)+('DOE25'!L300)+('DOE25'!L319)</f>
        <v>443.7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54249.030000000006</v>
      </c>
      <c r="D119" s="24" t="s">
        <v>289</v>
      </c>
      <c r="E119" s="95">
        <f>+('DOE25'!L282)+('DOE25'!L301)+('DOE25'!L320)</f>
        <v>6648.24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133629.05000000002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143768.99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188617.36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224233.52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41868.53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909044.1</v>
      </c>
      <c r="D128" s="86">
        <f>SUM(D118:D127)</f>
        <v>41868.53</v>
      </c>
      <c r="E128" s="86">
        <f>SUM(E118:E127)</f>
        <v>7091.94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170000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33830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6013.96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2015.92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-2029.88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5559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1084.94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215389</v>
      </c>
      <c r="D144" s="141">
        <f>SUM(D130:D143)</f>
        <v>0</v>
      </c>
      <c r="E144" s="141">
        <f>SUM(E130:E143)</f>
        <v>1084.94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3159213.3400000003</v>
      </c>
      <c r="D145" s="86">
        <f>(D115+D128+D144)</f>
        <v>41868.53</v>
      </c>
      <c r="E145" s="86">
        <f>(E115+E128+E144)</f>
        <v>83474.19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15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06/2002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07/2017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2600000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4.38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850000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850000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170000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170000</v>
      </c>
    </row>
    <row r="159" spans="1:9" x14ac:dyDescent="0.2">
      <c r="A159" s="22" t="s">
        <v>35</v>
      </c>
      <c r="B159" s="137">
        <f>'DOE25'!F498</f>
        <v>680000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680000</v>
      </c>
    </row>
    <row r="160" spans="1:9" x14ac:dyDescent="0.2">
      <c r="A160" s="22" t="s">
        <v>36</v>
      </c>
      <c r="B160" s="137">
        <f>'DOE25'!F499</f>
        <v>60435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60435</v>
      </c>
    </row>
    <row r="161" spans="1:7" x14ac:dyDescent="0.2">
      <c r="A161" s="22" t="s">
        <v>37</v>
      </c>
      <c r="B161" s="137">
        <f>'DOE25'!F500</f>
        <v>740435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740435</v>
      </c>
    </row>
    <row r="162" spans="1:7" x14ac:dyDescent="0.2">
      <c r="A162" s="22" t="s">
        <v>38</v>
      </c>
      <c r="B162" s="137">
        <f>'DOE25'!F501</f>
        <v>170000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170000</v>
      </c>
    </row>
    <row r="163" spans="1:7" x14ac:dyDescent="0.2">
      <c r="A163" s="22" t="s">
        <v>39</v>
      </c>
      <c r="B163" s="137">
        <f>'DOE25'!F502</f>
        <v>26350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26350</v>
      </c>
    </row>
    <row r="164" spans="1:7" x14ac:dyDescent="0.2">
      <c r="A164" s="22" t="s">
        <v>246</v>
      </c>
      <c r="B164" s="137">
        <f>'DOE25'!F503</f>
        <v>196350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196350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Milan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13372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13372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1766547</v>
      </c>
      <c r="D10" s="182">
        <f>ROUND((C10/$C$28)*100,1)</f>
        <v>57.2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331952</v>
      </c>
      <c r="D11" s="182">
        <f>ROUND((C11/$C$28)*100,1)</f>
        <v>10.8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5566</v>
      </c>
      <c r="D13" s="182">
        <f>ROUND((C13/$C$28)*100,1)</f>
        <v>0.2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164990</v>
      </c>
      <c r="D15" s="182">
        <f t="shared" ref="D15:D27" si="0">ROUND((C15/$C$28)*100,1)</f>
        <v>5.3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60897</v>
      </c>
      <c r="D16" s="182">
        <f t="shared" si="0"/>
        <v>2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133629</v>
      </c>
      <c r="D17" s="182">
        <f t="shared" si="0"/>
        <v>4.3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143769</v>
      </c>
      <c r="D18" s="182">
        <f t="shared" si="0"/>
        <v>4.7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188617</v>
      </c>
      <c r="D20" s="182">
        <f t="shared" si="0"/>
        <v>6.1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224234</v>
      </c>
      <c r="D21" s="182">
        <f t="shared" si="0"/>
        <v>7.3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6013</v>
      </c>
      <c r="D24" s="182">
        <f t="shared" si="0"/>
        <v>0.2</v>
      </c>
    </row>
    <row r="25" spans="1:4" x14ac:dyDescent="0.2">
      <c r="A25">
        <v>5120</v>
      </c>
      <c r="B25" t="s">
        <v>720</v>
      </c>
      <c r="C25" s="179">
        <f>ROUND('DOE25'!L261+'DOE25'!L342,0)</f>
        <v>33830</v>
      </c>
      <c r="D25" s="182">
        <f t="shared" si="0"/>
        <v>1.1000000000000001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6643.9400000000005</v>
      </c>
      <c r="D26" s="182">
        <f t="shared" si="0"/>
        <v>0.2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20935.05</v>
      </c>
      <c r="D27" s="182">
        <f t="shared" si="0"/>
        <v>0.7</v>
      </c>
    </row>
    <row r="28" spans="1:4" x14ac:dyDescent="0.2">
      <c r="B28" s="187" t="s">
        <v>723</v>
      </c>
      <c r="C28" s="180">
        <f>SUM(C10:C27)</f>
        <v>3087622.9899999998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3087622.9899999998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170000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1381762</v>
      </c>
      <c r="D35" s="182">
        <f t="shared" ref="D35:D40" si="1">ROUND((C35/$C$41)*100,1)</f>
        <v>44.3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236745.80999999982</v>
      </c>
      <c r="D36" s="182">
        <f t="shared" si="1"/>
        <v>7.6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1293233</v>
      </c>
      <c r="D37" s="182">
        <f t="shared" si="1"/>
        <v>41.5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83143</v>
      </c>
      <c r="D38" s="182">
        <f t="shared" si="1"/>
        <v>2.7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123301</v>
      </c>
      <c r="D39" s="182">
        <f t="shared" si="1"/>
        <v>4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3118184.8099999996</v>
      </c>
      <c r="D41" s="184">
        <f>SUM(D35:D40)</f>
        <v>100.10000000000001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C6" sqref="C6:M6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Milan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>
        <v>3</v>
      </c>
      <c r="B4" s="219">
        <v>24</v>
      </c>
      <c r="C4" s="285" t="s">
        <v>914</v>
      </c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 t="s">
        <v>915</v>
      </c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2014-08-27T19:13:32Z</cp:lastPrinted>
  <dcterms:created xsi:type="dcterms:W3CDTF">1997-12-04T19:04:30Z</dcterms:created>
  <dcterms:modified xsi:type="dcterms:W3CDTF">2014-10-28T12:16:01Z</dcterms:modified>
</cp:coreProperties>
</file>