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38" i="12" l="1"/>
  <c r="C37" i="12" s="1"/>
  <c r="C39" i="12"/>
  <c r="C19" i="12"/>
  <c r="C20" i="12"/>
  <c r="C10" i="12"/>
  <c r="C12" i="12"/>
  <c r="C11" i="12"/>
  <c r="B39" i="12" l="1"/>
  <c r="B37" i="12"/>
  <c r="D11" i="13"/>
  <c r="E10" i="13"/>
  <c r="D9" i="13"/>
  <c r="F50" i="1" l="1"/>
  <c r="H498" i="1" l="1"/>
  <c r="H495" i="1"/>
  <c r="H499" i="1" l="1"/>
  <c r="H502" i="1"/>
  <c r="G502" i="1"/>
  <c r="G499" i="1"/>
  <c r="I502" i="1"/>
  <c r="I501" i="1"/>
  <c r="I498" i="1"/>
  <c r="G501" i="1"/>
  <c r="G498" i="1"/>
  <c r="F498" i="1"/>
  <c r="I507" i="1" l="1"/>
  <c r="H538" i="1" l="1"/>
  <c r="H537" i="1"/>
  <c r="H536" i="1"/>
  <c r="G531" i="1"/>
  <c r="K533" i="1"/>
  <c r="K532" i="1"/>
  <c r="K531" i="1"/>
  <c r="J533" i="1"/>
  <c r="J532" i="1"/>
  <c r="J531" i="1"/>
  <c r="I533" i="1"/>
  <c r="I532" i="1"/>
  <c r="I531" i="1"/>
  <c r="H533" i="1"/>
  <c r="H532" i="1"/>
  <c r="H531" i="1"/>
  <c r="F533" i="1"/>
  <c r="F532" i="1"/>
  <c r="F531" i="1"/>
  <c r="G528" i="1"/>
  <c r="G527" i="1"/>
  <c r="G526" i="1"/>
  <c r="F528" i="1"/>
  <c r="F527" i="1"/>
  <c r="F526" i="1"/>
  <c r="I528" i="1"/>
  <c r="I527" i="1"/>
  <c r="I526" i="1"/>
  <c r="H528" i="1"/>
  <c r="H527" i="1"/>
  <c r="H526" i="1"/>
  <c r="J528" i="1"/>
  <c r="J527" i="1"/>
  <c r="J526" i="1"/>
  <c r="I521" i="1"/>
  <c r="H521" i="1"/>
  <c r="G521" i="1"/>
  <c r="F521" i="1"/>
  <c r="J523" i="1"/>
  <c r="G523" i="1"/>
  <c r="F523" i="1"/>
  <c r="J522" i="1"/>
  <c r="G522" i="1"/>
  <c r="F522" i="1"/>
  <c r="J521" i="1"/>
  <c r="I523" i="1"/>
  <c r="H523" i="1"/>
  <c r="I522" i="1"/>
  <c r="H522" i="1"/>
  <c r="H582" i="1"/>
  <c r="G582" i="1"/>
  <c r="F582" i="1"/>
  <c r="H584" i="1"/>
  <c r="G567" i="1"/>
  <c r="F567" i="1"/>
  <c r="K568" i="1"/>
  <c r="I568" i="1"/>
  <c r="K567" i="1"/>
  <c r="I567" i="1"/>
  <c r="G562" i="1" l="1"/>
  <c r="G563" i="1"/>
  <c r="G564" i="1"/>
  <c r="F564" i="1"/>
  <c r="F563" i="1"/>
  <c r="F562" i="1"/>
  <c r="J562" i="1"/>
  <c r="I562" i="1"/>
  <c r="I557" i="1"/>
  <c r="H557" i="1"/>
  <c r="G557" i="1"/>
  <c r="F557" i="1"/>
  <c r="G611" i="1"/>
  <c r="F611" i="1"/>
  <c r="I611" i="1"/>
  <c r="I613" i="1"/>
  <c r="I612" i="1"/>
  <c r="H244" i="1"/>
  <c r="H243" i="1"/>
  <c r="J593" i="1"/>
  <c r="J594" i="1"/>
  <c r="I594" i="1"/>
  <c r="J592" i="1"/>
  <c r="I592" i="1"/>
  <c r="H592" i="1"/>
  <c r="H591" i="1"/>
  <c r="J591" i="1"/>
  <c r="I591" i="1"/>
  <c r="J604" i="1"/>
  <c r="I604" i="1"/>
  <c r="H604" i="1"/>
  <c r="F472" i="1" l="1"/>
  <c r="H225" i="1"/>
  <c r="I204" i="1"/>
  <c r="H209" i="1"/>
  <c r="G215" i="1"/>
  <c r="I234" i="1"/>
  <c r="I233" i="1"/>
  <c r="G233" i="1"/>
  <c r="H197" i="1"/>
  <c r="G238" i="1"/>
  <c r="G220" i="1"/>
  <c r="G202" i="1"/>
  <c r="J245" i="1"/>
  <c r="J227" i="1"/>
  <c r="J209" i="1"/>
  <c r="H245" i="1"/>
  <c r="H227" i="1"/>
  <c r="I243" i="1"/>
  <c r="I225" i="1"/>
  <c r="I207" i="1"/>
  <c r="H207" i="1"/>
  <c r="I240" i="1"/>
  <c r="I222" i="1"/>
  <c r="H240" i="1"/>
  <c r="H222" i="1"/>
  <c r="H204" i="1"/>
  <c r="H234" i="1"/>
  <c r="H216" i="1"/>
  <c r="H198" i="1"/>
  <c r="K241" i="1" l="1"/>
  <c r="H239" i="1"/>
  <c r="I238" i="1"/>
  <c r="J238" i="1"/>
  <c r="I235" i="1"/>
  <c r="H235" i="1"/>
  <c r="H226" i="1"/>
  <c r="I221" i="1"/>
  <c r="I216" i="1"/>
  <c r="I215" i="1"/>
  <c r="H215" i="1"/>
  <c r="I205" i="1"/>
  <c r="H203" i="1"/>
  <c r="I198" i="1"/>
  <c r="I197" i="1"/>
  <c r="G243" i="1"/>
  <c r="G225" i="1"/>
  <c r="G207" i="1"/>
  <c r="G197" i="1"/>
  <c r="G240" i="1"/>
  <c r="G239" i="1" l="1"/>
  <c r="G236" i="1"/>
  <c r="G235" i="1"/>
  <c r="G234" i="1"/>
  <c r="G222" i="1"/>
  <c r="G221" i="1"/>
  <c r="G218" i="1"/>
  <c r="G216" i="1"/>
  <c r="G209" i="1"/>
  <c r="G205" i="1"/>
  <c r="G204" i="1"/>
  <c r="G203" i="1"/>
  <c r="G200" i="1"/>
  <c r="G198" i="1"/>
  <c r="F245" i="1" l="1"/>
  <c r="F227" i="1"/>
  <c r="F209" i="1"/>
  <c r="F49" i="1" l="1"/>
  <c r="F36" i="1"/>
  <c r="F28" i="1"/>
  <c r="F24" i="1"/>
  <c r="F22" i="1"/>
  <c r="F17" i="1"/>
  <c r="F14" i="1"/>
  <c r="F13" i="1"/>
  <c r="F10" i="1"/>
  <c r="F9" i="1"/>
  <c r="H208" i="1"/>
  <c r="I245" i="1"/>
  <c r="J243" i="1"/>
  <c r="F243" i="1"/>
  <c r="I227" i="1"/>
  <c r="J225" i="1"/>
  <c r="F225" i="1"/>
  <c r="I209" i="1"/>
  <c r="J207" i="1"/>
  <c r="F207" i="1"/>
  <c r="F240" i="1"/>
  <c r="K240" i="1"/>
  <c r="J240" i="1"/>
  <c r="K222" i="1"/>
  <c r="J222" i="1"/>
  <c r="F222" i="1"/>
  <c r="K204" i="1"/>
  <c r="J204" i="1"/>
  <c r="F204" i="1"/>
  <c r="I239" i="1"/>
  <c r="F239" i="1"/>
  <c r="H238" i="1"/>
  <c r="F238" i="1"/>
  <c r="H221" i="1"/>
  <c r="F221" i="1"/>
  <c r="I220" i="1"/>
  <c r="H220" i="1"/>
  <c r="F220" i="1"/>
  <c r="J220" i="1"/>
  <c r="I203" i="1"/>
  <c r="F203" i="1"/>
  <c r="I202" i="1"/>
  <c r="H202" i="1"/>
  <c r="F202" i="1"/>
  <c r="J202" i="1"/>
  <c r="F236" i="1"/>
  <c r="F234" i="1"/>
  <c r="F198" i="1"/>
  <c r="J234" i="1"/>
  <c r="F218" i="1"/>
  <c r="F216" i="1"/>
  <c r="J216" i="1"/>
  <c r="F200" i="1"/>
  <c r="K238" i="1" l="1"/>
  <c r="K236" i="1"/>
  <c r="K235" i="1"/>
  <c r="K233" i="1"/>
  <c r="K223" i="1"/>
  <c r="K218" i="1"/>
  <c r="K215" i="1"/>
  <c r="K205" i="1"/>
  <c r="K200" i="1"/>
  <c r="K197" i="1"/>
  <c r="K261" i="1"/>
  <c r="K260" i="1"/>
  <c r="J239" i="1"/>
  <c r="J235" i="1"/>
  <c r="J233" i="1"/>
  <c r="J223" i="1"/>
  <c r="J221" i="1"/>
  <c r="J215" i="1"/>
  <c r="J197" i="1"/>
  <c r="I241" i="1"/>
  <c r="I236" i="1"/>
  <c r="I223" i="1"/>
  <c r="I218" i="1"/>
  <c r="I200" i="1"/>
  <c r="H241" i="1"/>
  <c r="H236" i="1"/>
  <c r="H233" i="1"/>
  <c r="H223" i="1"/>
  <c r="H218" i="1"/>
  <c r="H205" i="1"/>
  <c r="H200" i="1"/>
  <c r="F241" i="1"/>
  <c r="F235" i="1"/>
  <c r="F233" i="1"/>
  <c r="F223" i="1"/>
  <c r="F215" i="1"/>
  <c r="F205" i="1"/>
  <c r="F197" i="1"/>
  <c r="F160" i="1" l="1"/>
  <c r="F127" i="1"/>
  <c r="F126" i="1"/>
  <c r="F123" i="1"/>
  <c r="F120" i="1"/>
  <c r="F118" i="1"/>
  <c r="F117" i="1"/>
  <c r="F110" i="1"/>
  <c r="F109" i="1"/>
  <c r="F101" i="1"/>
  <c r="F96" i="1"/>
  <c r="F70" i="1"/>
  <c r="F69" i="1"/>
  <c r="F64" i="1"/>
  <c r="I48" i="1" l="1"/>
  <c r="I41" i="1"/>
  <c r="I472" i="1" l="1"/>
  <c r="G458" i="1" l="1"/>
  <c r="G457" i="1"/>
  <c r="I403" i="1" l="1"/>
  <c r="H403" i="1"/>
  <c r="I406" i="1"/>
  <c r="H406" i="1"/>
  <c r="I400" i="1"/>
  <c r="H400" i="1"/>
  <c r="I404" i="1"/>
  <c r="I405" i="1"/>
  <c r="H404" i="1"/>
  <c r="J110" i="1"/>
  <c r="J102" i="1"/>
  <c r="J96" i="1"/>
  <c r="H429" i="1"/>
  <c r="H426" i="1"/>
  <c r="F368" i="1" l="1"/>
  <c r="F367" i="1"/>
  <c r="G368" i="1"/>
  <c r="G367" i="1"/>
  <c r="H368" i="1"/>
  <c r="H367" i="1"/>
  <c r="G360" i="1"/>
  <c r="G359" i="1"/>
  <c r="G358" i="1"/>
  <c r="K360" i="1"/>
  <c r="J360" i="1"/>
  <c r="I360" i="1"/>
  <c r="H360" i="1"/>
  <c r="F360" i="1"/>
  <c r="K359" i="1"/>
  <c r="I359" i="1"/>
  <c r="H359" i="1"/>
  <c r="F359" i="1"/>
  <c r="K358" i="1"/>
  <c r="I358" i="1"/>
  <c r="H358" i="1"/>
  <c r="F358" i="1"/>
  <c r="G472" i="1"/>
  <c r="G468" i="1"/>
  <c r="G161" i="1"/>
  <c r="G158" i="1"/>
  <c r="G132" i="1"/>
  <c r="G97" i="1"/>
  <c r="G48" i="1"/>
  <c r="G13" i="1"/>
  <c r="G12" i="1"/>
  <c r="H472" i="1" l="1"/>
  <c r="I325" i="1"/>
  <c r="H325" i="1"/>
  <c r="H320" i="1"/>
  <c r="G314" i="1"/>
  <c r="F314" i="1"/>
  <c r="H48" i="1"/>
  <c r="H12" i="1"/>
  <c r="H468" i="1"/>
  <c r="H465" i="1" l="1"/>
  <c r="J315" i="1"/>
  <c r="I321" i="1"/>
  <c r="I319" i="1"/>
  <c r="H319" i="1"/>
  <c r="G320" i="1"/>
  <c r="G319" i="1"/>
  <c r="G315" i="1"/>
  <c r="F320" i="1"/>
  <c r="F319" i="1"/>
  <c r="F315" i="1"/>
  <c r="J296" i="1"/>
  <c r="I302" i="1"/>
  <c r="I300" i="1"/>
  <c r="H301" i="1"/>
  <c r="H300" i="1"/>
  <c r="G301" i="1"/>
  <c r="G300" i="1"/>
  <c r="G296" i="1"/>
  <c r="F301" i="1"/>
  <c r="F300" i="1"/>
  <c r="F296" i="1"/>
  <c r="J277" i="1"/>
  <c r="I281" i="1"/>
  <c r="I277" i="1"/>
  <c r="H282" i="1"/>
  <c r="H281" i="1"/>
  <c r="H286" i="1"/>
  <c r="G282" i="1"/>
  <c r="G281" i="1"/>
  <c r="G277" i="1"/>
  <c r="F282" i="1"/>
  <c r="F281" i="1"/>
  <c r="F277" i="1"/>
  <c r="J317" i="1" l="1"/>
  <c r="J316" i="1"/>
  <c r="J298" i="1"/>
  <c r="I317" i="1"/>
  <c r="I316" i="1"/>
  <c r="I298" i="1"/>
  <c r="I282" i="1"/>
  <c r="I279" i="1"/>
  <c r="H316" i="1"/>
  <c r="H298" i="1"/>
  <c r="H287" i="1"/>
  <c r="H283" i="1"/>
  <c r="H277" i="1"/>
  <c r="G333" i="1"/>
  <c r="G316" i="1"/>
  <c r="G283" i="1"/>
  <c r="G279" i="1"/>
  <c r="G276" i="1"/>
  <c r="F333" i="1"/>
  <c r="F316" i="1"/>
  <c r="F283" i="1"/>
  <c r="F279" i="1"/>
  <c r="F276" i="1"/>
  <c r="H160" i="1"/>
  <c r="H159" i="1"/>
  <c r="H157" i="1"/>
  <c r="H156" i="1"/>
  <c r="H155" i="1"/>
  <c r="H154" i="1"/>
  <c r="H102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L362" i="1" s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C11" i="10"/>
  <c r="C12" i="10"/>
  <c r="C13" i="10"/>
  <c r="C15" i="10"/>
  <c r="C16" i="10"/>
  <c r="C17" i="10"/>
  <c r="C19" i="10"/>
  <c r="C20" i="10"/>
  <c r="C21" i="10"/>
  <c r="L250" i="1"/>
  <c r="L332" i="1"/>
  <c r="L254" i="1"/>
  <c r="C25" i="10"/>
  <c r="L268" i="1"/>
  <c r="L269" i="1"/>
  <c r="L349" i="1"/>
  <c r="L350" i="1"/>
  <c r="I665" i="1"/>
  <c r="I670" i="1"/>
  <c r="L211" i="1"/>
  <c r="F661" i="1"/>
  <c r="G661" i="1"/>
  <c r="H661" i="1"/>
  <c r="F662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09" i="2"/>
  <c r="C110" i="2"/>
  <c r="E110" i="2"/>
  <c r="C111" i="2"/>
  <c r="E111" i="2"/>
  <c r="C112" i="2"/>
  <c r="E112" i="2"/>
  <c r="C113" i="2"/>
  <c r="E113" i="2"/>
  <c r="C114" i="2"/>
  <c r="E114" i="2"/>
  <c r="C115" i="2"/>
  <c r="D115" i="2"/>
  <c r="F115" i="2"/>
  <c r="G115" i="2"/>
  <c r="C118" i="2"/>
  <c r="E118" i="2"/>
  <c r="C119" i="2"/>
  <c r="E119" i="2"/>
  <c r="C120" i="2"/>
  <c r="E120" i="2"/>
  <c r="C121" i="2"/>
  <c r="E121" i="2"/>
  <c r="C122" i="2"/>
  <c r="E122" i="2"/>
  <c r="E123" i="2"/>
  <c r="C124" i="2"/>
  <c r="E124" i="2"/>
  <c r="C125" i="2"/>
  <c r="E125" i="2"/>
  <c r="D127" i="2"/>
  <c r="D128" i="2" s="1"/>
  <c r="F128" i="2"/>
  <c r="G128" i="2"/>
  <c r="C130" i="2"/>
  <c r="E130" i="2"/>
  <c r="F130" i="2"/>
  <c r="D134" i="2"/>
  <c r="D144" i="2" s="1"/>
  <c r="D145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E159" i="2"/>
  <c r="F159" i="2"/>
  <c r="B160" i="2"/>
  <c r="C160" i="2"/>
  <c r="D160" i="2"/>
  <c r="E160" i="2"/>
  <c r="F160" i="2"/>
  <c r="F500" i="1"/>
  <c r="B161" i="2" s="1"/>
  <c r="G500" i="1"/>
  <c r="C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19" i="1"/>
  <c r="H19" i="1"/>
  <c r="I19" i="1"/>
  <c r="F32" i="1"/>
  <c r="F52" i="1" s="1"/>
  <c r="G32" i="1"/>
  <c r="H32" i="1"/>
  <c r="I32" i="1"/>
  <c r="H617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57" i="1"/>
  <c r="F271" i="1" s="1"/>
  <c r="L270" i="1"/>
  <c r="F290" i="1"/>
  <c r="G290" i="1"/>
  <c r="H290" i="1"/>
  <c r="I290" i="1"/>
  <c r="F309" i="1"/>
  <c r="G309" i="1"/>
  <c r="H309" i="1"/>
  <c r="I309" i="1"/>
  <c r="F328" i="1"/>
  <c r="F338" i="1" s="1"/>
  <c r="F352" i="1" s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K352" i="1" s="1"/>
  <c r="F362" i="1"/>
  <c r="G362" i="1"/>
  <c r="H362" i="1"/>
  <c r="I362" i="1"/>
  <c r="J362" i="1"/>
  <c r="K362" i="1"/>
  <c r="I368" i="1"/>
  <c r="F369" i="1"/>
  <c r="G369" i="1"/>
  <c r="H369" i="1"/>
  <c r="I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G640" i="1" s="1"/>
  <c r="J640" i="1" s="1"/>
  <c r="H446" i="1"/>
  <c r="I446" i="1"/>
  <c r="F452" i="1"/>
  <c r="G452" i="1"/>
  <c r="H452" i="1"/>
  <c r="I452" i="1"/>
  <c r="F460" i="1"/>
  <c r="G460" i="1"/>
  <c r="H460" i="1"/>
  <c r="I460" i="1"/>
  <c r="F461" i="1"/>
  <c r="G461" i="1"/>
  <c r="H461" i="1"/>
  <c r="I461" i="1"/>
  <c r="F470" i="1"/>
  <c r="G470" i="1"/>
  <c r="H470" i="1"/>
  <c r="I470" i="1"/>
  <c r="J470" i="1"/>
  <c r="F474" i="1"/>
  <c r="G474" i="1"/>
  <c r="H474" i="1"/>
  <c r="I474" i="1"/>
  <c r="J474" i="1"/>
  <c r="K495" i="1"/>
  <c r="K496" i="1"/>
  <c r="K497" i="1"/>
  <c r="K499" i="1"/>
  <c r="K501" i="1"/>
  <c r="K502" i="1"/>
  <c r="K503" i="1"/>
  <c r="F517" i="1"/>
  <c r="G517" i="1"/>
  <c r="H517" i="1"/>
  <c r="I517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7" i="1"/>
  <c r="G618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G634" i="1"/>
  <c r="H634" i="1"/>
  <c r="H635" i="1"/>
  <c r="H636" i="1"/>
  <c r="H637" i="1"/>
  <c r="H638" i="1"/>
  <c r="G639" i="1"/>
  <c r="H639" i="1"/>
  <c r="H640" i="1"/>
  <c r="G641" i="1"/>
  <c r="H641" i="1"/>
  <c r="G642" i="1"/>
  <c r="H642" i="1"/>
  <c r="G643" i="1"/>
  <c r="H643" i="1"/>
  <c r="G644" i="1"/>
  <c r="H644" i="1"/>
  <c r="J644" i="1" s="1"/>
  <c r="G645" i="1"/>
  <c r="H645" i="1"/>
  <c r="H647" i="1"/>
  <c r="G649" i="1"/>
  <c r="G650" i="1"/>
  <c r="G651" i="1"/>
  <c r="G652" i="1"/>
  <c r="H652" i="1"/>
  <c r="G653" i="1"/>
  <c r="H653" i="1"/>
  <c r="G654" i="1"/>
  <c r="H654" i="1"/>
  <c r="H655" i="1"/>
  <c r="F192" i="1"/>
  <c r="L256" i="1"/>
  <c r="K257" i="1"/>
  <c r="K271" i="1" s="1"/>
  <c r="G257" i="1"/>
  <c r="G271" i="1" s="1"/>
  <c r="G164" i="2"/>
  <c r="C18" i="2"/>
  <c r="C26" i="10"/>
  <c r="L328" i="1"/>
  <c r="L351" i="1"/>
  <c r="I662" i="1"/>
  <c r="L290" i="1"/>
  <c r="F660" i="1" s="1"/>
  <c r="F664" i="1" s="1"/>
  <c r="F672" i="1" s="1"/>
  <c r="C4" i="10" s="1"/>
  <c r="A31" i="12"/>
  <c r="C70" i="2"/>
  <c r="A40" i="12"/>
  <c r="D12" i="13"/>
  <c r="C12" i="13" s="1"/>
  <c r="D62" i="2"/>
  <c r="D63" i="2" s="1"/>
  <c r="D18" i="13"/>
  <c r="C18" i="13" s="1"/>
  <c r="D15" i="13"/>
  <c r="C15" i="13" s="1"/>
  <c r="D7" i="13"/>
  <c r="C7" i="13" s="1"/>
  <c r="D18" i="2"/>
  <c r="D17" i="13"/>
  <c r="C17" i="13" s="1"/>
  <c r="D6" i="13"/>
  <c r="C6" i="13" s="1"/>
  <c r="E8" i="13"/>
  <c r="C8" i="13" s="1"/>
  <c r="C91" i="2"/>
  <c r="F78" i="2"/>
  <c r="F81" i="2" s="1"/>
  <c r="D31" i="2"/>
  <c r="C78" i="2"/>
  <c r="D50" i="2"/>
  <c r="G157" i="2"/>
  <c r="F18" i="2"/>
  <c r="G156" i="2"/>
  <c r="E115" i="2"/>
  <c r="E103" i="2"/>
  <c r="D91" i="2"/>
  <c r="E62" i="2"/>
  <c r="E63" i="2" s="1"/>
  <c r="E31" i="2"/>
  <c r="G62" i="2"/>
  <c r="D29" i="13"/>
  <c r="C29" i="13" s="1"/>
  <c r="D19" i="13"/>
  <c r="C19" i="13" s="1"/>
  <c r="D14" i="13"/>
  <c r="C14" i="13" s="1"/>
  <c r="E13" i="13"/>
  <c r="C13" i="13" s="1"/>
  <c r="J617" i="1"/>
  <c r="E78" i="2"/>
  <c r="E81" i="2" s="1"/>
  <c r="L427" i="1"/>
  <c r="J257" i="1"/>
  <c r="J271" i="1" s="1"/>
  <c r="H112" i="1"/>
  <c r="F112" i="1"/>
  <c r="J641" i="1"/>
  <c r="J639" i="1"/>
  <c r="K605" i="1"/>
  <c r="G648" i="1" s="1"/>
  <c r="J571" i="1"/>
  <c r="K571" i="1"/>
  <c r="L433" i="1"/>
  <c r="L419" i="1"/>
  <c r="D81" i="2"/>
  <c r="I169" i="1"/>
  <c r="H169" i="1"/>
  <c r="G552" i="1"/>
  <c r="J643" i="1"/>
  <c r="J476" i="1"/>
  <c r="H626" i="1" s="1"/>
  <c r="H476" i="1"/>
  <c r="H624" i="1" s="1"/>
  <c r="J624" i="1" s="1"/>
  <c r="F476" i="1"/>
  <c r="H622" i="1" s="1"/>
  <c r="J622" i="1" s="1"/>
  <c r="I476" i="1"/>
  <c r="H625" i="1" s="1"/>
  <c r="J625" i="1" s="1"/>
  <c r="G476" i="1"/>
  <c r="H623" i="1" s="1"/>
  <c r="J623" i="1" s="1"/>
  <c r="G338" i="1"/>
  <c r="G352" i="1" s="1"/>
  <c r="F169" i="1"/>
  <c r="J140" i="1"/>
  <c r="F571" i="1"/>
  <c r="H257" i="1"/>
  <c r="H271" i="1" s="1"/>
  <c r="I552" i="1"/>
  <c r="K549" i="1"/>
  <c r="K550" i="1"/>
  <c r="G22" i="2"/>
  <c r="K598" i="1"/>
  <c r="G647" i="1" s="1"/>
  <c r="K545" i="1"/>
  <c r="J552" i="1"/>
  <c r="H552" i="1"/>
  <c r="C29" i="10"/>
  <c r="I661" i="1"/>
  <c r="H140" i="1"/>
  <c r="L401" i="1"/>
  <c r="C139" i="2" s="1"/>
  <c r="L393" i="1"/>
  <c r="A13" i="12"/>
  <c r="F22" i="13"/>
  <c r="H25" i="13"/>
  <c r="C25" i="13" s="1"/>
  <c r="J651" i="1"/>
  <c r="J634" i="1"/>
  <c r="H571" i="1"/>
  <c r="L560" i="1"/>
  <c r="J545" i="1"/>
  <c r="H338" i="1"/>
  <c r="H352" i="1" s="1"/>
  <c r="G192" i="1"/>
  <c r="H192" i="1"/>
  <c r="E128" i="2"/>
  <c r="F552" i="1"/>
  <c r="C35" i="10"/>
  <c r="L309" i="1"/>
  <c r="D5" i="13"/>
  <c r="C5" i="13" s="1"/>
  <c r="E16" i="13"/>
  <c r="J655" i="1"/>
  <c r="J645" i="1"/>
  <c r="L570" i="1"/>
  <c r="I571" i="1"/>
  <c r="I545" i="1"/>
  <c r="J636" i="1"/>
  <c r="G36" i="2"/>
  <c r="L565" i="1"/>
  <c r="G545" i="1"/>
  <c r="L545" i="1"/>
  <c r="H545" i="1"/>
  <c r="K551" i="1"/>
  <c r="C22" i="13"/>
  <c r="C138" i="2"/>
  <c r="H33" i="13"/>
  <c r="K552" i="1" l="1"/>
  <c r="J649" i="1"/>
  <c r="C18" i="10"/>
  <c r="L229" i="1"/>
  <c r="G660" i="1" s="1"/>
  <c r="G664" i="1" s="1"/>
  <c r="G667" i="1" s="1"/>
  <c r="E33" i="13"/>
  <c r="D35" i="13" s="1"/>
  <c r="I257" i="1"/>
  <c r="I271" i="1" s="1"/>
  <c r="J647" i="1"/>
  <c r="C123" i="2"/>
  <c r="C128" i="2" s="1"/>
  <c r="C16" i="13"/>
  <c r="L247" i="1"/>
  <c r="H660" i="1" s="1"/>
  <c r="H664" i="1" s="1"/>
  <c r="C10" i="10"/>
  <c r="C81" i="2"/>
  <c r="C62" i="2"/>
  <c r="C63" i="2" s="1"/>
  <c r="F667" i="1"/>
  <c r="L337" i="1"/>
  <c r="F62" i="2"/>
  <c r="F63" i="2" s="1"/>
  <c r="C23" i="10"/>
  <c r="G163" i="2"/>
  <c r="G162" i="2"/>
  <c r="G160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E145" i="2"/>
  <c r="L338" i="1"/>
  <c r="L352" i="1" s="1"/>
  <c r="G633" i="1" s="1"/>
  <c r="J633" i="1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D31" i="13" s="1"/>
  <c r="C31" i="13" s="1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G104" i="2" s="1"/>
  <c r="J618" i="1"/>
  <c r="G42" i="2"/>
  <c r="J51" i="1"/>
  <c r="G16" i="2"/>
  <c r="J19" i="1"/>
  <c r="G621" i="1" s="1"/>
  <c r="F33" i="13"/>
  <c r="G18" i="2"/>
  <c r="F545" i="1"/>
  <c r="H434" i="1"/>
  <c r="J620" i="1"/>
  <c r="J619" i="1"/>
  <c r="D103" i="2"/>
  <c r="D104" i="2" s="1"/>
  <c r="I140" i="1"/>
  <c r="A22" i="12"/>
  <c r="G50" i="2"/>
  <c r="G51" i="2" s="1"/>
  <c r="H648" i="1"/>
  <c r="J648" i="1" s="1"/>
  <c r="J652" i="1"/>
  <c r="J642" i="1"/>
  <c r="G571" i="1"/>
  <c r="I434" i="1"/>
  <c r="G434" i="1"/>
  <c r="E104" i="2"/>
  <c r="I663" i="1"/>
  <c r="C27" i="10"/>
  <c r="G635" i="1"/>
  <c r="J635" i="1" s="1"/>
  <c r="C28" i="10" l="1"/>
  <c r="D23" i="10" s="1"/>
  <c r="C145" i="2"/>
  <c r="H667" i="1"/>
  <c r="H672" i="1"/>
  <c r="C6" i="10" s="1"/>
  <c r="L257" i="1"/>
  <c r="L271" i="1" s="1"/>
  <c r="G632" i="1" s="1"/>
  <c r="J632" i="1" s="1"/>
  <c r="C104" i="2"/>
  <c r="I193" i="1"/>
  <c r="G630" i="1" s="1"/>
  <c r="J630" i="1" s="1"/>
  <c r="L408" i="1"/>
  <c r="G672" i="1"/>
  <c r="C5" i="10" s="1"/>
  <c r="I660" i="1"/>
  <c r="I664" i="1" s="1"/>
  <c r="I672" i="1" s="1"/>
  <c r="C7" i="10" s="1"/>
  <c r="C51" i="2"/>
  <c r="G631" i="1"/>
  <c r="J631" i="1" s="1"/>
  <c r="D33" i="13"/>
  <c r="D36" i="13" s="1"/>
  <c r="G193" i="1"/>
  <c r="G628" i="1" s="1"/>
  <c r="J628" i="1" s="1"/>
  <c r="G626" i="1"/>
  <c r="J626" i="1" s="1"/>
  <c r="J52" i="1"/>
  <c r="H621" i="1" s="1"/>
  <c r="J621" i="1" s="1"/>
  <c r="C38" i="10"/>
  <c r="D24" i="10"/>
  <c r="D19" i="10"/>
  <c r="D12" i="10"/>
  <c r="D25" i="10"/>
  <c r="D17" i="10"/>
  <c r="D15" i="10"/>
  <c r="D18" i="10"/>
  <c r="D20" i="10"/>
  <c r="D27" i="10"/>
  <c r="D10" i="10" l="1"/>
  <c r="D13" i="10"/>
  <c r="D26" i="10"/>
  <c r="D11" i="10"/>
  <c r="C30" i="10"/>
  <c r="D21" i="10"/>
  <c r="D16" i="10"/>
  <c r="D22" i="10"/>
  <c r="G637" i="1"/>
  <c r="J637" i="1" s="1"/>
  <c r="H646" i="1"/>
  <c r="J646" i="1" s="1"/>
  <c r="I667" i="1"/>
  <c r="H656" i="1"/>
  <c r="C41" i="10"/>
  <c r="D38" i="10" s="1"/>
  <c r="D28" i="10" l="1"/>
  <c r="D37" i="10"/>
  <c r="D36" i="10"/>
  <c r="D35" i="10"/>
  <c r="D40" i="10"/>
  <c r="D39" i="10"/>
  <c r="D41" i="10" l="1"/>
  <c r="K498" i="1"/>
  <c r="H500" i="1"/>
  <c r="K500" i="1" s="1"/>
  <c r="D161" i="2"/>
  <c r="G161" i="2" s="1"/>
  <c r="D159" i="2"/>
  <c r="G159" i="2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<sst xmlns="http://schemas.openxmlformats.org/spreadsheetml/2006/main" count="3982" uniqueCount="936">
  <si>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</si>
  <si>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</si>
  <si>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</si>
  <si>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</si>
  <si>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</si>
  <si>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</si>
  <si>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</si>
  <si>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</si>
  <si>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</si>
  <si>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</si>
  <si>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</si>
  <si>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</si>
  <si>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</si>
  <si>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</si>
  <si>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</si>
  <si>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</si>
  <si>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</si>
  <si>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</si>
  <si>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</si>
  <si>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</si>
  <si>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</si>
  <si>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</si>
  <si>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</si>
  <si>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</si>
  <si>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</si>
  <si>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</si>
  <si>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</si>
  <si>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</si>
  <si>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</si>
  <si>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</si>
  <si>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</si>
  <si>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</si>
  <si>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</si>
  <si>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</si>
  <si>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</si>
  <si>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</si>
  <si>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</si>
  <si>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</si>
  <si>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</si>
  <si>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</si>
  <si>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</si>
  <si>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</si>
  <si>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</si>
  <si>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</si>
  <si>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</si>
  <si>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</si>
  <si>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</si>
  <si>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</si>
  <si>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</si>
  <si>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</si>
  <si>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</si>
  <si>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</si>
  <si>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</si>
  <si>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</si>
  <si>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</si>
  <si>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</si>
  <si>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</si>
  <si>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</si>
  <si>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</si>
  <si>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</si>
  <si>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</si>
  <si>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</si>
  <si>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</si>
  <si>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</si>
  <si>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</si>
  <si>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</si>
  <si>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</si>
  <si>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</si>
  <si>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</si>
  <si>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</si>
  <si>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</si>
  <si>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</si>
  <si>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</si>
  <si>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</si>
  <si>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</si>
  <si>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</si>
  <si>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</si>
  <si>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</si>
  <si>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</si>
  <si>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</si>
  <si>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</si>
  <si>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</si>
  <si>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</si>
  <si>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</si>
  <si>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</si>
  <si>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</si>
  <si>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</si>
  <si>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</si>
  <si>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</si>
  <si>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</si>
  <si>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</si>
  <si>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</si>
  <si>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</si>
  <si>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</si>
  <si>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</si>
  <si>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</si>
  <si>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</si>
  <si>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</si>
  <si>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</si>
  <si>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</si>
  <si>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</si>
  <si>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</si>
  <si>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</si>
  <si>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</si>
  <si>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</si>
  <si>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</si>
  <si>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</si>
  <si>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</si>
  <si>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</si>
  <si>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</si>
  <si>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</si>
  <si>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</si>
  <si>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</si>
  <si>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</si>
  <si>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</si>
  <si>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</si>
  <si>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</si>
  <si>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</si>
  <si>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</si>
  <si>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</si>
  <si>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</si>
  <si>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</si>
  <si>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</si>
  <si>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</si>
  <si>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</si>
  <si>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</si>
  <si>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</si>
  <si>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</si>
  <si>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</si>
  <si>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</si>
  <si>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</si>
  <si>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</si>
  <si>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</si>
  <si>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</si>
  <si>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</si>
  <si>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</si>
  <si>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</si>
  <si>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</si>
  <si>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</si>
  <si>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</si>
  <si>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</si>
  <si>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</si>
  <si>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</si>
  <si>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</si>
  <si>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</si>
  <si>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</si>
  <si>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</si>
  <si>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</si>
  <si>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</si>
  <si>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</si>
  <si>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</si>
  <si>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</si>
  <si>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</si>
  <si>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</si>
  <si>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</si>
  <si>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</si>
  <si>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</si>
  <si>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</si>
  <si>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</si>
  <si>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</si>
  <si>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</si>
  <si>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</si>
  <si>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</si>
  <si>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</si>
  <si>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</si>
  <si>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</si>
  <si>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</si>
  <si>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</si>
  <si>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</si>
  <si>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</si>
  <si>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</si>
  <si>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</si>
  <si>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</si>
  <si>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</si>
  <si>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</si>
  <si>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</si>
  <si>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</si>
  <si>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</si>
  <si>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</si>
  <si>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</si>
  <si>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</si>
  <si>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</si>
  <si>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</si>
  <si>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</si>
  <si>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</si>
  <si>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</si>
  <si>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</si>
  <si>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</si>
  <si>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</si>
  <si>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</si>
  <si>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</si>
  <si>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</si>
  <si>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</si>
  <si>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</si>
  <si>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</si>
  <si>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</si>
  <si>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</si>
  <si>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</si>
  <si>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</si>
  <si>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</si>
  <si>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</si>
  <si>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</si>
  <si>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</si>
  <si>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</si>
  <si>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</si>
  <si>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</si>
  <si>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</si>
  <si>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</si>
  <si>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</si>
  <si>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</si>
  <si>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</si>
  <si>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</si>
  <si>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</si>
  <si>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</si>
  <si>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</si>
  <si>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</si>
  <si>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</si>
  <si>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</si>
  <si>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</si>
  <si>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</si>
  <si>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</si>
  <si>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</si>
  <si>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</si>
  <si>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</si>
  <si>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</si>
  <si>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</si>
  <si>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</si>
  <si>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</si>
  <si>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</si>
  <si>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</si>
  <si>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</si>
  <si>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</si>
  <si>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</si>
  <si>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</si>
  <si>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</si>
  <si>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</si>
  <si>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</si>
  <si>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</si>
  <si>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</si>
  <si>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</si>
  <si>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</si>
  <si>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</si>
  <si>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</si>
  <si>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</si>
  <si>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</si>
  <si>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</si>
  <si>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</si>
  <si>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</si>
  <si>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</si>
  <si>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</si>
  <si>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</si>
  <si>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</si>
  <si>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</si>
  <si>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</si>
  <si>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</si>
  <si>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</si>
  <si>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</si>
  <si>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</si>
  <si>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</si>
  <si>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</si>
  <si>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</si>
  <si>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</si>
  <si>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</si>
  <si>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</si>
  <si>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</si>
  <si>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</si>
  <si>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</si>
  <si>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</si>
  <si>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</si>
  <si>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</si>
  <si>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</si>
  <si>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</si>
  <si>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</si>
  <si>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</si>
  <si>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</si>
  <si>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</si>
  <si>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</si>
  <si>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</si>
  <si>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</si>
  <si>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</si>
  <si>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</si>
  <si>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</si>
  <si>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</si>
  <si>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</si>
  <si>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</si>
  <si>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</si>
  <si>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</si>
  <si>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</si>
  <si>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</si>
  <si>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</si>
  <si>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</si>
  <si>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</si>
  <si>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</si>
  <si>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</si>
  <si>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</si>
  <si>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</si>
  <si>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</si>
  <si>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</si>
  <si>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</si>
  <si>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</si>
  <si>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</si>
  <si>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</si>
  <si>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</si>
  <si>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</si>
  <si>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</si>
  <si>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</si>
  <si>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</si>
  <si>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</si>
  <si>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</si>
  <si>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</si>
  <si>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</si>
  <si>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</si>
  <si>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</si>
  <si>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</si>
  <si>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</si>
  <si>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</si>
  <si>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</si>
  <si>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</si>
  <si>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</si>
  <si>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</si>
  <si>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</si>
  <si>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</si>
  <si>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</si>
  <si>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</si>
  <si>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</si>
  <si>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</si>
  <si>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</si>
  <si>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</si>
  <si>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</si>
  <si>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</si>
  <si>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</si>
  <si>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</si>
  <si>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</si>
  <si>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</si>
  <si>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</si>
  <si>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</si>
  <si>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</si>
  <si>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</si>
  <si>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</si>
  <si>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</si>
  <si>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</si>
  <si>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</si>
  <si>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</si>
  <si>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</si>
  <si>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</si>
  <si>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</si>
  <si>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</si>
  <si>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</si>
  <si>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</si>
  <si>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</si>
  <si>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</si>
  <si>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</si>
  <si>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</si>
  <si>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</si>
  <si>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</si>
  <si>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</si>
  <si>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</si>
  <si>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</si>
  <si>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</si>
  <si>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</si>
  <si>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</si>
  <si>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</si>
  <si>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</si>
  <si>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</si>
  <si>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</si>
  <si>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</si>
  <si>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</si>
  <si>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</si>
  <si>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</si>
  <si>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</si>
  <si>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</si>
  <si>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</si>
  <si>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</si>
  <si>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</si>
  <si>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</si>
  <si>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</si>
  <si>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</si>
  <si>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</si>
  <si>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</si>
  <si>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</si>
  <si>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</si>
  <si>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</si>
  <si>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</si>
  <si>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</si>
  <si>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</si>
  <si>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</si>
  <si>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</si>
  <si>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</si>
  <si>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</si>
  <si>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</si>
  <si>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</si>
  <si>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</si>
  <si>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</si>
  <si>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</si>
  <si>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</si>
  <si>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</si>
  <si>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</si>
  <si>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</si>
  <si>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</si>
  <si>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</si>
  <si>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</si>
  <si>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</si>
  <si>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</si>
  <si>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</si>
  <si>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</si>
  <si>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</si>
  <si>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</si>
  <si>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</si>
  <si>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</si>
  <si>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</si>
  <si>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</si>
  <si>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</si>
  <si>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</si>
  <si>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</si>
  <si>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</si>
  <si>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</si>
  <si>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</si>
  <si>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</si>
  <si>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</si>
  <si>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</si>
  <si>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</si>
  <si>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</si>
  <si>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</si>
  <si>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</si>
  <si>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</si>
  <si>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</si>
  <si>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</si>
  <si>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</si>
  <si>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</si>
  <si>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</si>
  <si>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</si>
  <si>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</si>
  <si>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</si>
  <si>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</si>
  <si>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</si>
  <si>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</si>
  <si>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</si>
  <si>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</si>
  <si>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</si>
  <si>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</si>
  <si>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</si>
  <si>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</si>
  <si>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</si>
  <si>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</si>
  <si>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</si>
  <si>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</si>
  <si>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</si>
  <si>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</si>
  <si>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</si>
  <si>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</si>
  <si>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</si>
  <si>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</si>
  <si>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</si>
  <si>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</si>
  <si>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</si>
  <si>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</si>
  <si>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</si>
  <si>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</si>
  <si>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</si>
  <si>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</si>
  <si>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</si>
  <si>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</si>
  <si>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</si>
  <si>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</si>
  <si>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</si>
  <si>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</si>
  <si>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</si>
  <si>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</si>
  <si>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</si>
  <si>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</si>
  <si>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</si>
  <si>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</si>
  <si>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</si>
  <si>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</si>
  <si>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</si>
  <si>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</si>
  <si>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</si>
  <si>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</si>
  <si>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</si>
  <si>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</si>
  <si>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</si>
  <si>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</si>
  <si>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</si>
  <si>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</si>
  <si>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</si>
  <si>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</si>
  <si>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</si>
  <si>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</si>
  <si>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</si>
  <si>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</si>
  <si>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</si>
  <si>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</si>
  <si>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</si>
  <si>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</si>
  <si>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</si>
  <si>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</si>
  <si>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</si>
  <si>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</si>
  <si>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</si>
  <si>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</si>
  <si>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</si>
  <si>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</si>
  <si>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</si>
  <si>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</si>
  <si>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</si>
  <si>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</si>
  <si>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</si>
  <si>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</si>
  <si>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</si>
  <si>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</si>
  <si>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</si>
  <si>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</si>
  <si>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</si>
  <si>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</si>
  <si>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</si>
  <si>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</si>
  <si>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</si>
  <si>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</si>
  <si>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</si>
  <si>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</si>
  <si>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</si>
  <si>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</si>
  <si>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</si>
  <si>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</si>
  <si>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</si>
  <si>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</si>
  <si>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</si>
  <si>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</si>
  <si>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</si>
  <si>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</si>
  <si>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</si>
  <si>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</si>
  <si>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</si>
  <si>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</si>
  <si>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</si>
  <si>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</si>
  <si>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</si>
  <si>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</si>
  <si>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</si>
  <si>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</si>
  <si>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</si>
  <si>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</si>
  <si>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</si>
  <si>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</si>
  <si>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</si>
  <si>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</si>
  <si>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</si>
  <si>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</si>
  <si>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</si>
  <si>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</si>
  <si>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</si>
  <si>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</si>
  <si>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</si>
  <si>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</si>
  <si>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</si>
  <si>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</si>
  <si>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</si>
  <si>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</si>
  <si>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</si>
  <si>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</si>
  <si>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</si>
  <si>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</si>
  <si>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</si>
  <si>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</si>
  <si>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</si>
  <si>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</si>
  <si>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</si>
  <si>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</si>
  <si>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</si>
  <si>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</si>
  <si>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</si>
  <si>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</si>
  <si>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</si>
  <si>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</si>
  <si>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</si>
  <si>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</si>
  <si>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</si>
  <si>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</si>
  <si>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</si>
  <si>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</si>
  <si>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</si>
  <si>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</si>
  <si>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</si>
  <si>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</si>
  <si>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</si>
  <si>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</si>
  <si>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</si>
  <si>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</si>
  <si>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</si>
  <si>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</si>
  <si>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</si>
  <si>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</si>
  <si>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</si>
  <si>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</si>
  <si>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</si>
  <si>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</si>
  <si>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</si>
  <si>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</si>
  <si>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</si>
  <si>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</si>
  <si>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</si>
  <si>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</si>
  <si>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</si>
  <si>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</si>
  <si>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</si>
  <si>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</si>
  <si>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</si>
  <si>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</si>
  <si>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</si>
  <si>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</si>
  <si>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</si>
  <si>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</si>
  <si>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</si>
  <si>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</si>
  <si>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</si>
  <si>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</si>
  <si>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</si>
  <si>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</si>
  <si>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</si>
  <si>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</si>
  <si>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</si>
  <si>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</si>
  <si>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</si>
  <si>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</si>
  <si>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</si>
  <si>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</si>
  <si>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</si>
  <si>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</si>
  <si>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</si>
  <si>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</si>
  <si>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</si>
  <si>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</si>
  <si>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</si>
  <si>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</si>
  <si>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</si>
  <si>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</si>
  <si>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</si>
  <si>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</si>
  <si>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</si>
  <si>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</si>
  <si>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</si>
  <si>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</si>
  <si>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</si>
  <si>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</si>
  <si>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</si>
  <si>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</si>
  <si>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</si>
  <si>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</si>
  <si>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</si>
  <si>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</si>
  <si>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</si>
  <si>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</si>
  <si>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</si>
  <si>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</si>
  <si>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</si>
  <si>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</si>
  <si>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</si>
  <si>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</si>
  <si>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</si>
  <si>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</si>
  <si>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</si>
  <si>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</si>
  <si>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</si>
  <si>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</si>
  <si>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</si>
  <si>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</si>
  <si>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</si>
  <si>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</si>
  <si>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</si>
  <si>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</si>
  <si>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</si>
  <si>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</si>
  <si>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</si>
  <si>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</si>
  <si>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</si>
  <si>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</si>
  <si>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</si>
  <si>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</si>
  <si>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</si>
  <si>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</si>
  <si>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</si>
  <si>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</si>
  <si>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</si>
  <si>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</si>
  <si>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</si>
  <si>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</si>
  <si>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</si>
  <si>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</si>
  <si>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</si>
  <si>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</si>
  <si>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</si>
  <si>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</si>
  <si>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</si>
  <si>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</si>
  <si>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</si>
  <si>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</si>
  <si>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</si>
  <si>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</si>
  <si>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</si>
  <si>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</si>
  <si>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</si>
  <si>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</si>
  <si>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</si>
  <si>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</si>
  <si>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</si>
  <si>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</si>
  <si>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</si>
  <si>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</si>
  <si>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</si>
  <si>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</si>
  <si>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</si>
  <si>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</si>
  <si>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</si>
  <si>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</si>
  <si>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</si>
  <si>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</si>
  <si>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</si>
  <si>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</si>
  <si>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</si>
  <si>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</si>
  <si>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</si>
  <si>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</si>
  <si>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</si>
  <si>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</si>
  <si>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</si>
  <si>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</si>
  <si>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</si>
  <si>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</si>
  <si>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</si>
  <si>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</si>
  <si>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</si>
  <si>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</si>
  <si>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</si>
  <si>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</si>
  <si>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</si>
  <si>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</si>
  <si>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</si>
  <si>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</si>
  <si>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</si>
  <si>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</si>
  <si>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</si>
  <si>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</si>
  <si>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</si>
  <si>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</si>
  <si>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</si>
  <si>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</si>
  <si>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</si>
  <si>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</si>
  <si>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</si>
  <si>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</si>
  <si>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</si>
  <si>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</si>
  <si>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</si>
  <si>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</si>
  <si>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</si>
  <si>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</si>
  <si>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</si>
  <si>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</si>
  <si>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</si>
  <si>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</si>
  <si>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</si>
  <si>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</si>
  <si>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</si>
  <si>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</si>
  <si>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</si>
  <si>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</si>
  <si>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</si>
  <si>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</si>
  <si>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</si>
  <si>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</si>
  <si>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</si>
  <si>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</si>
  <si>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</si>
  <si>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</si>
  <si>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</si>
  <si>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</si>
  <si>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</si>
  <si>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</si>
  <si>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</si>
  <si>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</si>
  <si>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</si>
  <si>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</si>
  <si>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</si>
  <si>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</si>
  <si>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</si>
  <si>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</si>
  <si>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</si>
  <si>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</si>
  <si>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</si>
  <si>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</si>
  <si>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</si>
  <si>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</si>
  <si>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</si>
  <si>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</si>
  <si>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</si>
  <si>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</si>
  <si>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</si>
  <si>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</si>
  <si>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</si>
  <si>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</si>
  <si>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</si>
  <si>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</si>
  <si>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</si>
  <si>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</si>
  <si>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</si>
  <si>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</si>
  <si>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</si>
  <si>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</si>
  <si>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</si>
  <si>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</si>
  <si>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</si>
  <si>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</si>
  <si>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</si>
  <si>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</si>
  <si>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</si>
  <si>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</si>
  <si>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</si>
  <si>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</si>
  <si>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</si>
  <si>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</si>
  <si>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</si>
  <si>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</si>
  <si>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</si>
  <si>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</si>
  <si>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</si>
  <si>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</si>
  <si>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</si>
  <si>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</si>
  <si>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</si>
  <si>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</si>
  <si>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</si>
  <si>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</si>
  <si>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</si>
  <si>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</si>
  <si>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</si>
  <si>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</si>
  <si>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</si>
  <si>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</si>
  <si>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</si>
  <si>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</si>
  <si>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</si>
  <si>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</si>
  <si>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</si>
  <si>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</si>
  <si>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</si>
  <si>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</si>
  <si>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</si>
  <si>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</si>
  <si>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</si>
  <si>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</si>
  <si>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</si>
  <si>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</si>
  <si>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</si>
  <si>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</si>
  <si>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</si>
  <si>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</si>
  <si>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</si>
  <si>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</si>
  <si>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</si>
  <si>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</si>
  <si>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</si>
  <si>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</si>
  <si>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</si>
  <si>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</si>
  <si>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</si>
  <si>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</si>
  <si>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</si>
  <si>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</si>
  <si>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</si>
  <si>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</si>
  <si>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</si>
  <si>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</si>
  <si>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</si>
  <si>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</si>
  <si>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</si>
  <si>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</si>
  <si>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</si>
  <si>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</si>
  <si>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</si>
  <si>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</si>
  <si>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</si>
  <si>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</si>
  <si>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</si>
  <si>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</si>
  <si>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</si>
  <si>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</si>
  <si>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</si>
  <si>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</si>
  <si>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</si>
  <si>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</si>
  <si>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</si>
  <si>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</si>
  <si>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</si>
  <si>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</si>
  <si>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</si>
  <si>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</si>
  <si>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</si>
  <si>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</si>
  <si>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</si>
  <si>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</si>
  <si>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</si>
  <si>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</si>
  <si>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</si>
  <si>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</si>
  <si>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</si>
  <si>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</si>
  <si>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</si>
  <si>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</si>
  <si>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</si>
  <si>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</si>
  <si>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</si>
  <si>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SCHOLARSHIP FUNDS</t>
  </si>
  <si>
    <t>MAA OCONNOR</t>
  </si>
  <si>
    <t>MARCHESI</t>
  </si>
  <si>
    <t xml:space="preserve">OTHER </t>
  </si>
  <si>
    <t>01/00</t>
  </si>
  <si>
    <t>01/20</t>
  </si>
  <si>
    <t>07/10</t>
  </si>
  <si>
    <t>07/15</t>
  </si>
  <si>
    <t>07/13</t>
  </si>
  <si>
    <t>08/23</t>
  </si>
  <si>
    <t>01/08</t>
  </si>
  <si>
    <t>01/28</t>
  </si>
  <si>
    <t>Milford School District SAU#40</t>
  </si>
  <si>
    <t>column 2</t>
  </si>
  <si>
    <t>we allocate all our health, dental and workers compensation insurance based on a percentage of the salary.</t>
  </si>
  <si>
    <t>LGC - Dental  $62.824.91  July 2013 in the form of a credit on the invoice, Sept. 2013 in the form of a check.</t>
  </si>
  <si>
    <t>both were recorded in the 2900-212 account.</t>
  </si>
  <si>
    <t>Pgs 7 - 9</t>
  </si>
  <si>
    <t>hence, reported in various function lines within the object 2 columns of the general fund section.</t>
  </si>
  <si>
    <t>The following represents what we received in Premium Holidays for this fiscal year:</t>
  </si>
  <si>
    <t>NH School Health Care - Health $265,889.97  Dec. 2013 in the form of a credit on the invoice.</t>
  </si>
  <si>
    <t>Recorded in the 2900-211 account.</t>
  </si>
  <si>
    <t>we use a generic 2900-211 for health, 2900-212 for dental and 2900-260 for workers compensation during the year.</t>
  </si>
  <si>
    <t>Recorded in the 2900-260 account.</t>
  </si>
  <si>
    <t>Primex - Workers Compensation $38,672.96  July 2013 in the form of a credit on the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</si>
</sst>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9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923</v>
      </c>
      <c r="B2" s="21">
        <v>357</v>
      </c>
      <c r="C2" s="21">
        <v>357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702424.74+100</f>
        <v>702524.74</v>
      </c>
      <c r="G9" s="18">
        <v>375.15</v>
      </c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f>245415.17+245998.46</f>
        <v>491413.63</v>
      </c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>
        <f>35675.56</f>
        <v>35675.56</v>
      </c>
      <c r="H12" s="18">
        <f>18733.59</f>
        <v>18733.59</v>
      </c>
      <c r="I12" s="18">
        <v>344615.35</v>
      </c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f>79762.2</f>
        <v>79762.2</v>
      </c>
      <c r="G13" s="18">
        <f>34879</f>
        <v>34879</v>
      </c>
      <c r="H13" s="18">
        <v>352189.48</v>
      </c>
      <c r="I13" s="18"/>
      <c r="J13" s="67">
        <f>SUM(I442)</f>
        <v>3002065.15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f>8890.76</f>
        <v>8890.76</v>
      </c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>
        <f>278179.52</f>
        <v>278179.52</v>
      </c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1560770.85</v>
      </c>
      <c r="G19" s="41">
        <f>SUM(G9:G18)</f>
        <v>70929.709999999992</v>
      </c>
      <c r="H19" s="41">
        <f>SUM(H9:H18)</f>
        <v>370923.07</v>
      </c>
      <c r="I19" s="41">
        <f>SUM(I9:I18)</f>
        <v>344615.35</v>
      </c>
      <c r="J19" s="41">
        <f>SUM(J9:J18)</f>
        <v>3002065.15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f>107665.57</f>
        <v>107665.57</v>
      </c>
      <c r="G22" s="18"/>
      <c r="H22" s="18">
        <v>291358.93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f>3323.05</f>
        <v>3323.05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f>170269.54</f>
        <v>170269.54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281258.16000000003</v>
      </c>
      <c r="G32" s="41">
        <f>SUM(G22:G31)</f>
        <v>0</v>
      </c>
      <c r="H32" s="41">
        <f>SUM(H22:H31)</f>
        <v>291358.93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>
        <f>278179.52</f>
        <v>278179.52</v>
      </c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2747062.5799999996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164940.82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>
        <f>76482.6</f>
        <v>76482.600000000006</v>
      </c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90061.75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>
        <v>0</v>
      </c>
      <c r="G48" s="18">
        <f>70929.71</f>
        <v>70929.710000000006</v>
      </c>
      <c r="H48" s="18">
        <f>60830.55+18733.59</f>
        <v>79564.14</v>
      </c>
      <c r="I48" s="18">
        <f>56923.75+211209</f>
        <v>268132.75</v>
      </c>
      <c r="J48" s="13">
        <f>SUM(I459)</f>
        <v>0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f>373614.04</f>
        <v>373614.04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f>550719.13+77000</f>
        <v>627719.13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1279512.69</v>
      </c>
      <c r="G51" s="41">
        <f>SUM(G35:G50)</f>
        <v>70929.710000000006</v>
      </c>
      <c r="H51" s="41">
        <f>SUM(H35:H50)</f>
        <v>79564.14</v>
      </c>
      <c r="I51" s="41">
        <f>SUM(I35:I50)</f>
        <v>344615.35</v>
      </c>
      <c r="J51" s="41">
        <f>SUM(J35:J50)</f>
        <v>3002065.1499999994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1560770.85</v>
      </c>
      <c r="G52" s="41">
        <f>G51+G32</f>
        <v>70929.710000000006</v>
      </c>
      <c r="H52" s="41">
        <f>H51+H32</f>
        <v>370923.07</v>
      </c>
      <c r="I52" s="41">
        <f>I51+I32</f>
        <v>344615.35</v>
      </c>
      <c r="J52" s="41">
        <f>J51+J32</f>
        <v>3002065.1499999994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21506366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21506366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9117.35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>
        <f>3710</f>
        <v>3710</v>
      </c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>
        <v>72830</v>
      </c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>
        <v>823724.04</v>
      </c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>
        <f>328024.85</f>
        <v>328024.84999999998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>
        <f>41279.67</f>
        <v>41279.67</v>
      </c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1205855.9099999999</v>
      </c>
      <c r="G79" s="45" t="s">
        <v>289</v>
      </c>
      <c r="H79" s="41">
        <f>SUM(H63:H78)</f>
        <v>72830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f>870.27</f>
        <v>870.27</v>
      </c>
      <c r="G96" s="18"/>
      <c r="H96" s="18"/>
      <c r="I96" s="18"/>
      <c r="J96" s="18">
        <f>77009.19</f>
        <v>77009.19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f>93773.64+93020.15+85649.4+9785.5+2357.05+10303.5+23540.88+47372.84+82092.68</f>
        <v>447895.63999999996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f>8034.14</f>
        <v>8034.14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>
        <f>30203.65</f>
        <v>30203.65</v>
      </c>
      <c r="I102" s="18"/>
      <c r="J102" s="18">
        <f>10805.26</f>
        <v>10805.26</v>
      </c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>
        <f>22264.52</f>
        <v>22264.52</v>
      </c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5592.77</f>
        <v>5592.77</v>
      </c>
      <c r="G110" s="18"/>
      <c r="H110" s="18">
        <v>1820</v>
      </c>
      <c r="I110" s="18"/>
      <c r="J110" s="18">
        <f>205801.32</f>
        <v>205801.32</v>
      </c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36761.699999999997</v>
      </c>
      <c r="G111" s="41">
        <f>SUM(G96:G110)</f>
        <v>447895.63999999996</v>
      </c>
      <c r="H111" s="41">
        <f>SUM(H96:H110)</f>
        <v>32023.65</v>
      </c>
      <c r="I111" s="41">
        <f>SUM(I96:I110)</f>
        <v>0</v>
      </c>
      <c r="J111" s="41">
        <f>SUM(J96:J110)</f>
        <v>293615.77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22748983.609999999</v>
      </c>
      <c r="G112" s="41">
        <f>G60+G111</f>
        <v>447895.63999999996</v>
      </c>
      <c r="H112" s="41">
        <f>H60+H79+H94+H111</f>
        <v>104853.65</v>
      </c>
      <c r="I112" s="41">
        <f>I60+I111</f>
        <v>0</v>
      </c>
      <c r="J112" s="41">
        <f>J60+J111</f>
        <v>293615.77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f>8183352.86</f>
        <v>8183352.8600000003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f>3211831</f>
        <v>3211831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>
        <f>241.28</f>
        <v>241.28</v>
      </c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11395425.139999999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f>240864.94</f>
        <v>240864.94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f>63925.68</f>
        <v>63925.68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>
        <f>60328.6</f>
        <v>60328.6</v>
      </c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8082.5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f>8882.77+1267.89</f>
        <v>10150.66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373201.72</v>
      </c>
      <c r="G136" s="41">
        <f>SUM(G123:G135)</f>
        <v>10150.66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11768626.859999999</v>
      </c>
      <c r="G140" s="41">
        <f>G121+SUM(G136:G137)</f>
        <v>10150.66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f>383503.89</f>
        <v>383503.89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f>130659.29</f>
        <v>130659.29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>
        <f>103097.34</f>
        <v>103097.34</v>
      </c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>
        <f>5614.83</f>
        <v>5614.83</v>
      </c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f>221505.88+50848.26</f>
        <v>272354.14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f>644327.06</f>
        <v>644327.06000000006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f>261998.73</f>
        <v>261998.73</v>
      </c>
      <c r="G160" s="24" t="s">
        <v>289</v>
      </c>
      <c r="H160" s="18">
        <f>1658.29</f>
        <v>1658.29</v>
      </c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>
        <f>38849.1</f>
        <v>38849.1</v>
      </c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261998.73</v>
      </c>
      <c r="G162" s="41">
        <f>SUM(G150:G161)</f>
        <v>311203.24</v>
      </c>
      <c r="H162" s="41">
        <f>SUM(H150:H161)</f>
        <v>1268860.7000000002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261998.73</v>
      </c>
      <c r="G169" s="41">
        <f>G147+G162+SUM(G163:G168)</f>
        <v>311203.24</v>
      </c>
      <c r="H169" s="41">
        <f>H147+H162+SUM(H163:H168)</f>
        <v>1268860.7000000002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>
        <v>1604565</v>
      </c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1604565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>
        <v>24500</v>
      </c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>
        <v>44500</v>
      </c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69000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69000</v>
      </c>
      <c r="G192" s="41">
        <f>G183+SUM(G188:G191)</f>
        <v>0</v>
      </c>
      <c r="H192" s="41">
        <f>+H183+SUM(H188:H191)</f>
        <v>0</v>
      </c>
      <c r="I192" s="41">
        <f>I177+I183+SUM(I188:I191)</f>
        <v>1604565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34848609.199999996</v>
      </c>
      <c r="G193" s="47">
        <f>G112+G140+G169+G192</f>
        <v>769249.53999999992</v>
      </c>
      <c r="H193" s="47">
        <f>H112+H140+H169+H192</f>
        <v>1373714.35</v>
      </c>
      <c r="I193" s="47">
        <f>I112+I140+I169+I192</f>
        <v>1604565</v>
      </c>
      <c r="J193" s="47">
        <f>J112+J140+J192</f>
        <v>293615.77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f>3590366</f>
        <v>3590366</v>
      </c>
      <c r="G197" s="18">
        <f>1789211.24</f>
        <v>1789211.24</v>
      </c>
      <c r="H197" s="18">
        <f>3805.17+180-180</f>
        <v>3805.17</v>
      </c>
      <c r="I197" s="18">
        <f>198705.19-889.51+201.48</f>
        <v>198017.16</v>
      </c>
      <c r="J197" s="18">
        <f>31612.4-802.41</f>
        <v>30809.99</v>
      </c>
      <c r="K197" s="18">
        <f>279.34</f>
        <v>279.33999999999997</v>
      </c>
      <c r="L197" s="19">
        <f>SUM(F197:K197)</f>
        <v>5612488.9000000004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f>1334045.75+82234+8824.14+24308.96+23889.06+7032.44</f>
        <v>1480334.3499999999</v>
      </c>
      <c r="G198" s="18">
        <f>654531.82</f>
        <v>654531.81999999995</v>
      </c>
      <c r="H198" s="18">
        <f>16599.44+36667.69+1645.54+2137.2+1763.7</f>
        <v>58813.57</v>
      </c>
      <c r="I198" s="18">
        <f>4863.58+1539.27</f>
        <v>6402.85</v>
      </c>
      <c r="J198" s="18"/>
      <c r="K198" s="18"/>
      <c r="L198" s="19">
        <f>SUM(F198:K198)</f>
        <v>2200082.59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f>27864.03+428.22</f>
        <v>28292.25</v>
      </c>
      <c r="G200" s="18">
        <f>6076.86</f>
        <v>6076.86</v>
      </c>
      <c r="H200" s="18">
        <f>21395.04</f>
        <v>21395.040000000001</v>
      </c>
      <c r="I200" s="18">
        <f>-69.04</f>
        <v>-69.040000000000006</v>
      </c>
      <c r="J200" s="18"/>
      <c r="K200" s="18">
        <f>1152</f>
        <v>1152</v>
      </c>
      <c r="L200" s="19">
        <f>SUM(F200:K200)</f>
        <v>56847.11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f>212820.39+115747.74+11655.59+274369.24+56928.69+25090.09+133732.63</f>
        <v>830344.36999999988</v>
      </c>
      <c r="G202" s="18">
        <f>926.26+120838.74+36494.58+167548.19+70235.55-0.03+230*0.87</f>
        <v>396243.38999999996</v>
      </c>
      <c r="H202" s="18">
        <f>8742.75+828+5154.02+39.34+244.42</f>
        <v>15008.53</v>
      </c>
      <c r="I202" s="18">
        <f>807.44+1130.18+2536.38+386.69+725.38</f>
        <v>5586.07</v>
      </c>
      <c r="J202" s="18">
        <f>779.29+277.08</f>
        <v>1056.3699999999999</v>
      </c>
      <c r="K202" s="18"/>
      <c r="L202" s="19">
        <f t="shared" ref="L202:L208" si="0">SUM(F202:K202)</f>
        <v>1248238.73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f>76908.65+25434.73+1170</f>
        <v>103513.37999999999</v>
      </c>
      <c r="G203" s="18">
        <f>253.74+40656.61</f>
        <v>40910.35</v>
      </c>
      <c r="H203" s="18">
        <f>3294.57+2513+312+1571.99+359</f>
        <v>8050.5599999999995</v>
      </c>
      <c r="I203" s="18">
        <f>5005.16-610.01+105.72+285.01</f>
        <v>4785.88</v>
      </c>
      <c r="J203" s="18"/>
      <c r="K203" s="18"/>
      <c r="L203" s="19">
        <f t="shared" si="0"/>
        <v>157260.16999999998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f>99673.12+58.5+2340+1496.43+90352.12+116136.39+88706.68+36702.39</f>
        <v>435465.63</v>
      </c>
      <c r="G204" s="18">
        <f>309.53+117599.49+122493.93</f>
        <v>240402.95</v>
      </c>
      <c r="H204" s="18">
        <f>22713.5+6162+7325.18+2220.27+2772.65+1318.89+206.7+575.73+628.91+714.14+2049.23+99*0.39+188.13+40.01+22.5+222.97+15.29</f>
        <v>47214.710000000006</v>
      </c>
      <c r="I204" s="18">
        <f>3553.26+50.31+1293.17+573.28+5.4-16.25</f>
        <v>5459.1699999999992</v>
      </c>
      <c r="J204" s="18">
        <f>179.59</f>
        <v>179.59</v>
      </c>
      <c r="K204" s="18">
        <f>2183.55+1618.28+497.94</f>
        <v>4299.7699999999995</v>
      </c>
      <c r="L204" s="19">
        <f t="shared" si="0"/>
        <v>733021.82000000007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f>466279.05</f>
        <v>466279.05</v>
      </c>
      <c r="G205" s="18">
        <f>272719.91</f>
        <v>272719.90999999997</v>
      </c>
      <c r="H205" s="18">
        <f>6377.84</f>
        <v>6377.84</v>
      </c>
      <c r="I205" s="18">
        <f>2146.5-161.54+75.88</f>
        <v>2060.84</v>
      </c>
      <c r="J205" s="18"/>
      <c r="K205" s="18">
        <f>2615</f>
        <v>2615</v>
      </c>
      <c r="L205" s="19">
        <f t="shared" si="0"/>
        <v>750052.6399999999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f>269678.86+30478.11+74712.11+6044.72</f>
        <v>380913.79999999993</v>
      </c>
      <c r="G207" s="18">
        <f>155888.89+916.21*0.39</f>
        <v>156246.21190000002</v>
      </c>
      <c r="H207" s="18">
        <f>101832.13-23157.57+14364.49+15718.11+1540.67+18627.28+31853.54+2185.41+2122.73+29856.06+2250.27+3628+205.25+1379.39+813.14+331.8+133.05</f>
        <v>203683.75</v>
      </c>
      <c r="I207" s="18">
        <f>228238.47-8145.96+22787.44+4041.9+250.92+189.4+273.12</f>
        <v>247635.29</v>
      </c>
      <c r="J207" s="18">
        <f>1500.4+3961.5</f>
        <v>5461.9</v>
      </c>
      <c r="K207" s="18"/>
      <c r="L207" s="19">
        <f t="shared" si="0"/>
        <v>993940.95189999999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f>107817.17+356757.69</f>
        <v>464574.86</v>
      </c>
      <c r="I208" s="18"/>
      <c r="J208" s="18"/>
      <c r="K208" s="18"/>
      <c r="L208" s="19">
        <f t="shared" si="0"/>
        <v>464574.86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>
        <f>52538.07+87429.61</f>
        <v>139967.67999999999</v>
      </c>
      <c r="G209" s="18">
        <f>25959.65</f>
        <v>25959.65</v>
      </c>
      <c r="H209" s="18">
        <f>29999.85+7946.55+391.28+665.09-0.02</f>
        <v>39002.75</v>
      </c>
      <c r="I209" s="18">
        <f>88.87+1864.36</f>
        <v>1953.23</v>
      </c>
      <c r="J209" s="18">
        <f>8039.74+15024.1+872.06+4100.4</f>
        <v>28036.300000000003</v>
      </c>
      <c r="K209" s="18"/>
      <c r="L209" s="19">
        <f>SUM(F209:K209)</f>
        <v>234919.61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7455476.5099999988</v>
      </c>
      <c r="G211" s="41">
        <f t="shared" si="1"/>
        <v>3582302.3819000004</v>
      </c>
      <c r="H211" s="41">
        <f t="shared" si="1"/>
        <v>867926.78</v>
      </c>
      <c r="I211" s="41">
        <f t="shared" si="1"/>
        <v>471831.45</v>
      </c>
      <c r="J211" s="41">
        <f t="shared" si="1"/>
        <v>65544.149999999994</v>
      </c>
      <c r="K211" s="41">
        <f t="shared" si="1"/>
        <v>8346.11</v>
      </c>
      <c r="L211" s="41">
        <f t="shared" si="1"/>
        <v>12451427.381899999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>
        <f>2644782.2</f>
        <v>2644782.2000000002</v>
      </c>
      <c r="G215" s="18">
        <f>1323147.27+65-65+867-387</f>
        <v>1323627.27</v>
      </c>
      <c r="H215" s="18">
        <f>4164.32-1877.27+110</f>
        <v>2397.0499999999997</v>
      </c>
      <c r="I215" s="18">
        <f>89091.76-1274.92+57.2+1069.96</f>
        <v>88944</v>
      </c>
      <c r="J215" s="18">
        <f>71431.78-5727.9</f>
        <v>65703.88</v>
      </c>
      <c r="K215" s="18">
        <f>1201</f>
        <v>1201</v>
      </c>
      <c r="L215" s="19">
        <f>SUM(F215:K215)</f>
        <v>4126655.4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>
        <f>842980.36+18513.46+25221.29+1416.22+3901.44+16967.36+4994.84</f>
        <v>913994.96999999986</v>
      </c>
      <c r="G216" s="18">
        <f>404183.72</f>
        <v>404183.72</v>
      </c>
      <c r="H216" s="18">
        <f>33341.3+23764.58+1066.49+289.6+3917.7+1154.27+48.76</f>
        <v>63582.7</v>
      </c>
      <c r="I216" s="18">
        <f>2134.71+315.91+24.35+7.45</f>
        <v>2482.4199999999996</v>
      </c>
      <c r="J216" s="18">
        <f>99.35+632.86</f>
        <v>732.21</v>
      </c>
      <c r="K216" s="18"/>
      <c r="L216" s="19">
        <f>SUM(F216:K216)</f>
        <v>1384976.0199999998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>
        <f>34871+5095+304.15</f>
        <v>40270.15</v>
      </c>
      <c r="G218" s="18">
        <f>3900.27</f>
        <v>3900.27</v>
      </c>
      <c r="H218" s="18">
        <f>11035.73</f>
        <v>11035.73</v>
      </c>
      <c r="I218" s="18">
        <f>2766.82</f>
        <v>2766.82</v>
      </c>
      <c r="J218" s="18"/>
      <c r="K218" s="18">
        <f>2702.08</f>
        <v>2702.08</v>
      </c>
      <c r="L218" s="19">
        <f>SUM(F218:K218)</f>
        <v>60675.049999999996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>
        <f>168682.42+85279.84+3885.2+75979.18+15764.87+5138.93+11887.34</f>
        <v>366617.78</v>
      </c>
      <c r="G220" s="18">
        <f>308.75+85031.61+33145.38+46397.96+6474.31+230*0.12</f>
        <v>171385.61</v>
      </c>
      <c r="H220" s="18">
        <f>9355+344+5031.32+10.9+21.73</f>
        <v>14762.949999999999</v>
      </c>
      <c r="I220" s="18">
        <f>543.97-93.97+1310.28+2475.99+107.08+64.48</f>
        <v>4407.829999999999</v>
      </c>
      <c r="J220" s="18">
        <f>270.49</f>
        <v>270.49</v>
      </c>
      <c r="K220" s="18"/>
      <c r="L220" s="19">
        <f t="shared" ref="L220:L226" si="2">SUM(F220:K220)</f>
        <v>557444.65999999992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>
        <f>1000+78982+21508.63+831</f>
        <v>102321.63</v>
      </c>
      <c r="G221" s="18">
        <f>396.12+39819.91</f>
        <v>40216.030000000006</v>
      </c>
      <c r="H221" s="18">
        <f>3834.11+1309+221.6+1116.51</f>
        <v>6481.2200000000012</v>
      </c>
      <c r="I221" s="18">
        <f>587.73+5314.94-73.17+75.09+202.43-12.56</f>
        <v>6094.46</v>
      </c>
      <c r="J221" s="18">
        <f>284.39</f>
        <v>284.39</v>
      </c>
      <c r="K221" s="18"/>
      <c r="L221" s="19">
        <f t="shared" si="2"/>
        <v>155397.73000000001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f>99896.2+41.55+1662+1062.85+64173.17+82486.61+57491.42+23787.07</f>
        <v>330600.87</v>
      </c>
      <c r="G222" s="18">
        <f>219.84+83525.79+90230.7</f>
        <v>173976.33</v>
      </c>
      <c r="H222" s="18">
        <f>16132.41+4376.6+5202.75+1576.96+1969.29+936.76+146.81+408.92+446.69+507.23+1328.12+99*0.277+117.47+24.98+14.07+139.22+10.01</f>
        <v>33365.713000000011</v>
      </c>
      <c r="I222" s="18">
        <f>2523.72+35.73+838.11+357.94+3.53</f>
        <v>3759.03</v>
      </c>
      <c r="J222" s="18">
        <f>116.4</f>
        <v>116.4</v>
      </c>
      <c r="K222" s="18">
        <f>1550.88+1149.39+322.72</f>
        <v>3022.9900000000007</v>
      </c>
      <c r="L222" s="19">
        <f t="shared" si="2"/>
        <v>544841.33299999998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>
        <f>320436.94</f>
        <v>320436.94</v>
      </c>
      <c r="G223" s="18">
        <v>173944.46</v>
      </c>
      <c r="H223" s="18">
        <f>2319.35-224.8</f>
        <v>2094.5499999999997</v>
      </c>
      <c r="I223" s="18">
        <f>1392.66-132.97</f>
        <v>1259.69</v>
      </c>
      <c r="J223" s="18">
        <f>294</f>
        <v>294</v>
      </c>
      <c r="K223" s="18">
        <f>2581</f>
        <v>2581</v>
      </c>
      <c r="L223" s="19">
        <f t="shared" si="2"/>
        <v>500610.64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>
        <f>186445.65+17760.63+43537.28+3522.47</f>
        <v>251266.03</v>
      </c>
      <c r="G225" s="18">
        <f>125511.39+916.21*0.277</f>
        <v>125765.18016999999</v>
      </c>
      <c r="H225" s="18">
        <f>140845.95-74379.95+8370.67+9159.48+897.8+10854.75+18562.14+1273.51+1236.99+21205.46+2936.55+855+193.36+77.54+8400</f>
        <v>150489.25</v>
      </c>
      <c r="I225" s="18">
        <f>198182-9290.63+13279.01+2355.35+159.16</f>
        <v>204684.89</v>
      </c>
      <c r="J225" s="18">
        <f>2308.5</f>
        <v>2308.5</v>
      </c>
      <c r="K225" s="18"/>
      <c r="L225" s="19">
        <f t="shared" si="2"/>
        <v>734513.85016999999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f>89226.5-3242.81+210232.22+1284.75</f>
        <v>297500.66000000003</v>
      </c>
      <c r="I226" s="18"/>
      <c r="J226" s="18"/>
      <c r="K226" s="18"/>
      <c r="L226" s="19">
        <f t="shared" si="2"/>
        <v>297500.66000000003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>
        <f>37315.51+151562.6</f>
        <v>188878.11000000002</v>
      </c>
      <c r="G227" s="18">
        <v>18438.009999999998</v>
      </c>
      <c r="H227" s="18">
        <f>21307.58+5644.09+277.91+415.27</f>
        <v>27644.850000000002</v>
      </c>
      <c r="I227" s="18">
        <f>63.13+1324.17</f>
        <v>1387.3000000000002</v>
      </c>
      <c r="J227" s="18">
        <f>5710.28+10670.97+544.5+2560.2</f>
        <v>19485.95</v>
      </c>
      <c r="K227" s="18"/>
      <c r="L227" s="19">
        <f>SUM(F227:K227)</f>
        <v>255834.22000000003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5159168.6800000006</v>
      </c>
      <c r="G229" s="41">
        <f>SUM(G215:G228)</f>
        <v>2435436.8801699998</v>
      </c>
      <c r="H229" s="41">
        <f>SUM(H215:H228)</f>
        <v>609354.67300000007</v>
      </c>
      <c r="I229" s="41">
        <f>SUM(I215:I228)</f>
        <v>315786.44</v>
      </c>
      <c r="J229" s="41">
        <f>SUM(J215:J228)</f>
        <v>89195.82</v>
      </c>
      <c r="K229" s="41">
        <f t="shared" si="3"/>
        <v>9507.07</v>
      </c>
      <c r="L229" s="41">
        <f t="shared" si="3"/>
        <v>8618449.5631700009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>
        <f>3415483.82</f>
        <v>3415483.82</v>
      </c>
      <c r="G233" s="18">
        <f>1747128.59+2175-2175+385+1479-666</f>
        <v>1748326.59</v>
      </c>
      <c r="H233" s="18">
        <f>6907.67</f>
        <v>6907.67</v>
      </c>
      <c r="I233" s="18">
        <f>90702.66-3062.2+16.98+159.56-0.17</f>
        <v>87816.83</v>
      </c>
      <c r="J233" s="18">
        <f>33932.17</f>
        <v>33932.17</v>
      </c>
      <c r="K233" s="18">
        <f>1966</f>
        <v>1966</v>
      </c>
      <c r="L233" s="19">
        <f>SUM(F233:K233)</f>
        <v>5294433.08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f>642022.82+113725.54+154930.76+653.64+1800.66+20397.58+6004.63</f>
        <v>939535.63</v>
      </c>
      <c r="G234" s="18">
        <f>440688.14</f>
        <v>440688.14</v>
      </c>
      <c r="H234" s="18">
        <f>149580.22-3687.64+21232.97+952.88+1778.94+18152.1+1117.95+560.79</f>
        <v>189688.21000000002</v>
      </c>
      <c r="I234" s="18">
        <f>1267.67-509.9+1940.56+149.59+614.11-54.5</f>
        <v>3407.53</v>
      </c>
      <c r="J234" s="18">
        <f>610.3+3887.54</f>
        <v>4497.84</v>
      </c>
      <c r="K234" s="18"/>
      <c r="L234" s="19">
        <f>SUM(F234:K234)</f>
        <v>1577817.35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>
        <f>695679.8</f>
        <v>695679.8</v>
      </c>
      <c r="G235" s="18">
        <f>367187.23</f>
        <v>367187.23</v>
      </c>
      <c r="H235" s="18">
        <f>22265.9-4626.48+84.56+5231.88</f>
        <v>22955.860000000004</v>
      </c>
      <c r="I235" s="18">
        <f>39479.03-1577.17+1740.49</f>
        <v>39642.35</v>
      </c>
      <c r="J235" s="18">
        <f>41060.41-2747.25</f>
        <v>38313.160000000003</v>
      </c>
      <c r="K235" s="18">
        <f>1120</f>
        <v>1120</v>
      </c>
      <c r="L235" s="19">
        <f>SUM(F235:K235)</f>
        <v>1164898.4000000001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f>126830.06+10920+365.63</f>
        <v>138115.69</v>
      </c>
      <c r="G236" s="18">
        <f>12476.3</f>
        <v>12476.3</v>
      </c>
      <c r="H236" s="18">
        <f>43840.73-328</f>
        <v>43512.73</v>
      </c>
      <c r="I236" s="18">
        <f>21882.02-1583.45</f>
        <v>20298.57</v>
      </c>
      <c r="J236" s="18"/>
      <c r="K236" s="18">
        <f>9248-190</f>
        <v>9058</v>
      </c>
      <c r="L236" s="19">
        <f>SUM(F236:K236)</f>
        <v>223461.29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>
        <f>15454.71+443189.17+81144.25+71758.11+14889.04+2971.84</f>
        <v>629407.12</v>
      </c>
      <c r="G238" s="18">
        <f>3351.64+227662.02+32816.73+43820.29+1516.48-0.01+230*0.01</f>
        <v>309169.44999999995</v>
      </c>
      <c r="H238" s="18">
        <f>12443.4-6+484+2086.16+10.29+5.43</f>
        <v>15023.28</v>
      </c>
      <c r="I238" s="18">
        <f>2076.99-47.92+1892.28-487.02+1026.63+101.13+16.12+190.16</f>
        <v>4768.369999999999</v>
      </c>
      <c r="J238" s="18">
        <f>112.15+357</f>
        <v>469.15</v>
      </c>
      <c r="K238" s="18">
        <f>305.79-1.79+135</f>
        <v>439</v>
      </c>
      <c r="L238" s="19">
        <f t="shared" ref="L238:L244" si="4">SUM(F238:K238)</f>
        <v>959276.37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>
        <f>92116.73+15753.35+999</f>
        <v>108869.08</v>
      </c>
      <c r="G239" s="18">
        <f>216.12+47444.25</f>
        <v>47660.37</v>
      </c>
      <c r="H239" s="18">
        <f>1035+1227.47+266.4+1342.24+416.91</f>
        <v>4288.0200000000004</v>
      </c>
      <c r="I239" s="18">
        <f>1333.66+17411.84-503.92+90.27+243.36</f>
        <v>18575.210000000003</v>
      </c>
      <c r="J239" s="18">
        <f>2697.97</f>
        <v>2697.97</v>
      </c>
      <c r="K239" s="18"/>
      <c r="L239" s="19">
        <f t="shared" si="4"/>
        <v>182090.65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f>91361.52+49.95+1998+1277.72+77146.81+99162.61+51366.9+21253.05+99606+13128.04</f>
        <v>456350.6</v>
      </c>
      <c r="G240" s="18">
        <f>264.29+100411.87+161134.23</f>
        <v>261810.39</v>
      </c>
      <c r="H240" s="18">
        <f>19393.83+5261.4+6254.57+1895.77+2367.41+1126.13+176.49+491.59+536.99+609.77+1186.63+537.92+99*0.333+162.4+34.54+19.43+192.47+9.7</f>
        <v>40290.006999999976</v>
      </c>
      <c r="I240" s="18">
        <f>3033.94+42.96+748.83+494.85+3.42</f>
        <v>4324</v>
      </c>
      <c r="J240" s="18">
        <f>104</f>
        <v>104</v>
      </c>
      <c r="K240" s="18">
        <f>1864.41+1381.76+288.34</f>
        <v>3534.51</v>
      </c>
      <c r="L240" s="19">
        <f t="shared" si="4"/>
        <v>766413.50699999998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>
        <f>419118.83</f>
        <v>419118.83</v>
      </c>
      <c r="G241" s="18">
        <v>225158.52</v>
      </c>
      <c r="H241" s="18">
        <f>9021.89-564.27</f>
        <v>8457.619999999999</v>
      </c>
      <c r="I241" s="18">
        <f>7114.04-958.95</f>
        <v>6155.09</v>
      </c>
      <c r="J241" s="18"/>
      <c r="K241" s="18">
        <f>18925.53-5275.06+426.99</f>
        <v>14077.459999999997</v>
      </c>
      <c r="L241" s="19">
        <f t="shared" si="4"/>
        <v>672967.5199999999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f>222840.19+24850.26+60916.35+4928.55</f>
        <v>313535.34999999998</v>
      </c>
      <c r="G243" s="18">
        <f>156749.44+916.21*0.333</f>
        <v>157054.53792999999</v>
      </c>
      <c r="H243" s="18">
        <f>87379.29-13457.96+11712.05+12815.73+1256.18+15187.72+25971.72+1781.87+1730.77+25492.48+7965.84+1159.56+270.53+108.48+27000</f>
        <v>206374.25999999998</v>
      </c>
      <c r="I243" s="18">
        <f>218279.55-14333.8+18579.69+3295.55+1791.48+222.69</f>
        <v>227835.16</v>
      </c>
      <c r="J243" s="18">
        <f>885+3230</f>
        <v>4115</v>
      </c>
      <c r="K243" s="18"/>
      <c r="L243" s="19">
        <f t="shared" si="4"/>
        <v>908914.30793000001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f>158255.56-9318.59+70077.41+579.75+4340</f>
        <v>223934.13</v>
      </c>
      <c r="I244" s="18"/>
      <c r="J244" s="18"/>
      <c r="K244" s="18"/>
      <c r="L244" s="19">
        <f t="shared" si="4"/>
        <v>223934.13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>
        <f>44859.44+70351.89</f>
        <v>115211.33</v>
      </c>
      <c r="G245" s="18">
        <v>22165.55</v>
      </c>
      <c r="H245" s="18">
        <f>25615.25+6785.13+334.09+574.09</f>
        <v>33308.559999999998</v>
      </c>
      <c r="I245" s="18">
        <f>75.89+1591.87</f>
        <v>1667.76</v>
      </c>
      <c r="J245" s="18">
        <f>6864.71+12828.28+752.75+3539.4</f>
        <v>23985.140000000003</v>
      </c>
      <c r="K245" s="18"/>
      <c r="L245" s="19">
        <f>SUM(F245:K245)</f>
        <v>196338.34000000003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7231307.25</v>
      </c>
      <c r="G247" s="41">
        <f t="shared" si="5"/>
        <v>3591697.0779300001</v>
      </c>
      <c r="H247" s="41">
        <f t="shared" si="5"/>
        <v>794740.34700000007</v>
      </c>
      <c r="I247" s="41">
        <f t="shared" si="5"/>
        <v>414490.87</v>
      </c>
      <c r="J247" s="41">
        <f t="shared" si="5"/>
        <v>108114.43</v>
      </c>
      <c r="K247" s="41">
        <f t="shared" si="5"/>
        <v>30194.969999999998</v>
      </c>
      <c r="L247" s="41">
        <f t="shared" si="5"/>
        <v>12170544.94493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19845952.439999998</v>
      </c>
      <c r="G257" s="41">
        <f t="shared" si="8"/>
        <v>9609436.3399999999</v>
      </c>
      <c r="H257" s="41">
        <f t="shared" si="8"/>
        <v>2272021.8000000003</v>
      </c>
      <c r="I257" s="41">
        <f t="shared" si="8"/>
        <v>1202108.76</v>
      </c>
      <c r="J257" s="41">
        <f t="shared" si="8"/>
        <v>262854.40000000002</v>
      </c>
      <c r="K257" s="41">
        <f t="shared" si="8"/>
        <v>48048.149999999994</v>
      </c>
      <c r="L257" s="41">
        <f t="shared" si="8"/>
        <v>33240421.890000001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f>866243.35</f>
        <v>866243.35</v>
      </c>
      <c r="L260" s="19">
        <f>SUM(F260:K260)</f>
        <v>866243.35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f>414156.75</f>
        <v>414156.75</v>
      </c>
      <c r="L261" s="19">
        <f>SUM(F261:K261)</f>
        <v>414156.75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1280400.1000000001</v>
      </c>
      <c r="L270" s="41">
        <f t="shared" si="9"/>
        <v>1280400.1000000001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19845952.439999998</v>
      </c>
      <c r="G271" s="42">
        <f t="shared" si="11"/>
        <v>9609436.3399999999</v>
      </c>
      <c r="H271" s="42">
        <f t="shared" si="11"/>
        <v>2272021.8000000003</v>
      </c>
      <c r="I271" s="42">
        <f t="shared" si="11"/>
        <v>1202108.76</v>
      </c>
      <c r="J271" s="42">
        <f t="shared" si="11"/>
        <v>262854.40000000002</v>
      </c>
      <c r="K271" s="42">
        <f t="shared" si="11"/>
        <v>1328448.25</v>
      </c>
      <c r="L271" s="42">
        <f t="shared" si="11"/>
        <v>34520821.990000002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f>72859</f>
        <v>72859</v>
      </c>
      <c r="G276" s="18">
        <f>16535.48</f>
        <v>16535.48</v>
      </c>
      <c r="H276" s="18"/>
      <c r="I276" s="18"/>
      <c r="J276" s="18"/>
      <c r="K276" s="18"/>
      <c r="L276" s="19">
        <f>SUM(F276:K276)</f>
        <v>89394.48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f>191153.87+87212.8+1403.89</f>
        <v>279770.56</v>
      </c>
      <c r="G277" s="18">
        <f>16570.62+30861.23+201.42</f>
        <v>47633.27</v>
      </c>
      <c r="H277" s="18">
        <f>4389.44</f>
        <v>4389.4399999999996</v>
      </c>
      <c r="I277" s="18">
        <f>38474.31+9904.79</f>
        <v>48379.1</v>
      </c>
      <c r="J277" s="18">
        <f>1863.84</f>
        <v>1863.84</v>
      </c>
      <c r="K277" s="18"/>
      <c r="L277" s="19">
        <f>SUM(F277:K277)</f>
        <v>382036.21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>
        <f>22052.5</f>
        <v>22052.5</v>
      </c>
      <c r="G279" s="18">
        <f>3040.3</f>
        <v>3040.3</v>
      </c>
      <c r="H279" s="18"/>
      <c r="I279" s="18">
        <f>976.95</f>
        <v>976.95</v>
      </c>
      <c r="J279" s="18"/>
      <c r="K279" s="18"/>
      <c r="L279" s="19">
        <f>SUM(F279:K279)</f>
        <v>26069.75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>
        <f>418.84+91843.92+18943.34</f>
        <v>111206.09999999999</v>
      </c>
      <c r="G281" s="18">
        <f>32.05+40614.33</f>
        <v>40646.380000000005</v>
      </c>
      <c r="H281" s="18">
        <f>4711.09+209.04</f>
        <v>4920.13</v>
      </c>
      <c r="I281" s="18">
        <f>1849.9+27.7+135.2</f>
        <v>2012.8000000000002</v>
      </c>
      <c r="J281" s="18"/>
      <c r="K281" s="18"/>
      <c r="L281" s="19">
        <f t="shared" ref="L281:L287" si="12">SUM(F281:K281)</f>
        <v>158785.40999999997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f>16724.95+27.69</f>
        <v>16752.64</v>
      </c>
      <c r="G282" s="18">
        <f>1719.83+2075.58</f>
        <v>3795.41</v>
      </c>
      <c r="H282" s="18">
        <f>715.43+2281.5+2090.79</f>
        <v>5087.7199999999993</v>
      </c>
      <c r="I282" s="18">
        <f>82.5</f>
        <v>82.5</v>
      </c>
      <c r="J282" s="18"/>
      <c r="K282" s="18"/>
      <c r="L282" s="19">
        <f t="shared" si="12"/>
        <v>25718.269999999997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>
        <f>65356</f>
        <v>65356</v>
      </c>
      <c r="G283" s="18">
        <f>22119.4</f>
        <v>22119.4</v>
      </c>
      <c r="H283" s="18">
        <f>791.21</f>
        <v>791.21</v>
      </c>
      <c r="I283" s="18"/>
      <c r="J283" s="18"/>
      <c r="K283" s="18"/>
      <c r="L283" s="19">
        <f t="shared" si="12"/>
        <v>88266.61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>
        <f>160</f>
        <v>160</v>
      </c>
      <c r="I286" s="18"/>
      <c r="J286" s="18"/>
      <c r="K286" s="18"/>
      <c r="L286" s="19">
        <f t="shared" si="12"/>
        <v>160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>
        <f>4035</f>
        <v>4035</v>
      </c>
      <c r="I287" s="18"/>
      <c r="J287" s="18"/>
      <c r="K287" s="18"/>
      <c r="L287" s="19">
        <f t="shared" si="12"/>
        <v>4035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567996.80000000005</v>
      </c>
      <c r="G290" s="42">
        <f t="shared" si="13"/>
        <v>133770.24000000002</v>
      </c>
      <c r="H290" s="42">
        <f t="shared" si="13"/>
        <v>19383.5</v>
      </c>
      <c r="I290" s="42">
        <f t="shared" si="13"/>
        <v>51451.35</v>
      </c>
      <c r="J290" s="42">
        <f t="shared" si="13"/>
        <v>1863.84</v>
      </c>
      <c r="K290" s="42">
        <f t="shared" si="13"/>
        <v>0</v>
      </c>
      <c r="L290" s="41">
        <f t="shared" si="13"/>
        <v>774465.73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>
        <f>225.32+16887.08</f>
        <v>17112.400000000001</v>
      </c>
      <c r="G296" s="18">
        <f>7199.84+32.33</f>
        <v>7232.17</v>
      </c>
      <c r="H296" s="18"/>
      <c r="I296" s="18"/>
      <c r="J296" s="18">
        <f>299.14</f>
        <v>299.14</v>
      </c>
      <c r="K296" s="18"/>
      <c r="L296" s="19">
        <f>SUM(F296:K296)</f>
        <v>24643.71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>
        <f>467.2</f>
        <v>467.2</v>
      </c>
      <c r="I298" s="18">
        <f>138.75</f>
        <v>138.75</v>
      </c>
      <c r="J298" s="18">
        <f>954.25</f>
        <v>954.25</v>
      </c>
      <c r="K298" s="18"/>
      <c r="L298" s="19">
        <f>SUM(F298:K298)</f>
        <v>1560.2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>
        <f>297.48+89657.16+5245.85</f>
        <v>95200.49</v>
      </c>
      <c r="G300" s="18">
        <f>22.76+39647.32</f>
        <v>39670.080000000002</v>
      </c>
      <c r="H300" s="18">
        <f>3346.09+148.47</f>
        <v>3494.56</v>
      </c>
      <c r="I300" s="18">
        <f>19.68+21.7</f>
        <v>41.379999999999995</v>
      </c>
      <c r="J300" s="18"/>
      <c r="K300" s="18"/>
      <c r="L300" s="19">
        <f t="shared" ref="L300:L306" si="14">SUM(F300:K300)</f>
        <v>138406.51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>
        <f>9198+19.67</f>
        <v>9217.67</v>
      </c>
      <c r="G301" s="18">
        <f>1474.2</f>
        <v>1474.2</v>
      </c>
      <c r="H301" s="18">
        <f>1620.45+1484.99</f>
        <v>3105.44</v>
      </c>
      <c r="I301" s="18"/>
      <c r="J301" s="18"/>
      <c r="K301" s="18"/>
      <c r="L301" s="19">
        <f t="shared" si="14"/>
        <v>13797.310000000001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>
        <f>18.28</f>
        <v>18.28</v>
      </c>
      <c r="J302" s="18"/>
      <c r="K302" s="18"/>
      <c r="L302" s="19">
        <f t="shared" si="14"/>
        <v>18.28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121530.56000000001</v>
      </c>
      <c r="G309" s="42">
        <f t="shared" si="15"/>
        <v>48376.45</v>
      </c>
      <c r="H309" s="42">
        <f t="shared" si="15"/>
        <v>7067.2</v>
      </c>
      <c r="I309" s="42">
        <f t="shared" si="15"/>
        <v>198.41</v>
      </c>
      <c r="J309" s="42">
        <f t="shared" si="15"/>
        <v>1253.3899999999999</v>
      </c>
      <c r="K309" s="42">
        <f t="shared" si="15"/>
        <v>0</v>
      </c>
      <c r="L309" s="41">
        <f t="shared" si="15"/>
        <v>178426.01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>
        <f>47154.52</f>
        <v>47154.52</v>
      </c>
      <c r="G314" s="18">
        <f>10304.39</f>
        <v>10304.39</v>
      </c>
      <c r="H314" s="18"/>
      <c r="I314" s="18"/>
      <c r="J314" s="18"/>
      <c r="K314" s="18"/>
      <c r="L314" s="19">
        <f>SUM(F314:K314)</f>
        <v>57458.909999999996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>
        <f>103.99+103734.92</f>
        <v>103838.91</v>
      </c>
      <c r="G315" s="18">
        <f>44227.57+14.92</f>
        <v>44242.49</v>
      </c>
      <c r="H315" s="18"/>
      <c r="I315" s="18"/>
      <c r="J315" s="18">
        <f>138.06</f>
        <v>138.06</v>
      </c>
      <c r="K315" s="18"/>
      <c r="L315" s="19">
        <f>SUM(F315:K315)</f>
        <v>148219.46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>
        <f>49502.2</f>
        <v>49502.2</v>
      </c>
      <c r="G316" s="18">
        <f>26997.63</f>
        <v>26997.63</v>
      </c>
      <c r="H316" s="18">
        <f>2799.98</f>
        <v>2799.98</v>
      </c>
      <c r="I316" s="18">
        <f>899</f>
        <v>899</v>
      </c>
      <c r="J316" s="18">
        <f>22323.53</f>
        <v>22323.53</v>
      </c>
      <c r="K316" s="18"/>
      <c r="L316" s="19">
        <f>SUM(F316:K316)</f>
        <v>102522.34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>
        <f>10217.02</f>
        <v>10217.02</v>
      </c>
      <c r="J317" s="18">
        <f>1814</f>
        <v>1814</v>
      </c>
      <c r="K317" s="18"/>
      <c r="L317" s="19">
        <f>SUM(F317:K317)</f>
        <v>12031.02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>
        <f>1877.22+357.62+37174.92+4954.41</f>
        <v>44364.17</v>
      </c>
      <c r="G319" s="18">
        <f>386.3+27.37+16439.13</f>
        <v>16852.8</v>
      </c>
      <c r="H319" s="18">
        <f>7825.82+4022.55+178.49</f>
        <v>12026.859999999999</v>
      </c>
      <c r="I319" s="18">
        <f>23.65+10.02</f>
        <v>33.67</v>
      </c>
      <c r="J319" s="18"/>
      <c r="K319" s="18"/>
      <c r="L319" s="19">
        <f t="shared" ref="L319:L325" si="16">SUM(F319:K319)</f>
        <v>73277.5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>
        <f>10655.63+23.64</f>
        <v>10679.269999999999</v>
      </c>
      <c r="G320" s="18">
        <f>1772.23</f>
        <v>1772.23</v>
      </c>
      <c r="H320" s="18">
        <f>575+1948.05+1785.21+215</f>
        <v>4523.26</v>
      </c>
      <c r="I320" s="18"/>
      <c r="J320" s="18"/>
      <c r="K320" s="18"/>
      <c r="L320" s="19">
        <f t="shared" si="16"/>
        <v>16974.759999999998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>
        <f>112.29</f>
        <v>112.29</v>
      </c>
      <c r="J321" s="18"/>
      <c r="K321" s="18"/>
      <c r="L321" s="19">
        <f t="shared" si="16"/>
        <v>112.29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>
        <f>4070.23</f>
        <v>4070.23</v>
      </c>
      <c r="I325" s="18">
        <f>2760.26</f>
        <v>2760.26</v>
      </c>
      <c r="J325" s="18"/>
      <c r="K325" s="18"/>
      <c r="L325" s="19">
        <f t="shared" si="16"/>
        <v>6830.49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255539.06999999998</v>
      </c>
      <c r="G328" s="42">
        <f t="shared" si="17"/>
        <v>100169.54</v>
      </c>
      <c r="H328" s="42">
        <f t="shared" si="17"/>
        <v>23420.329999999998</v>
      </c>
      <c r="I328" s="42">
        <f t="shared" si="17"/>
        <v>14022.240000000002</v>
      </c>
      <c r="J328" s="42">
        <f t="shared" si="17"/>
        <v>24275.59</v>
      </c>
      <c r="K328" s="42">
        <f t="shared" si="17"/>
        <v>0</v>
      </c>
      <c r="L328" s="41">
        <f t="shared" si="17"/>
        <v>417426.76999999996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>
        <f>2912</f>
        <v>2912</v>
      </c>
      <c r="G333" s="18">
        <f>439.31</f>
        <v>439.31</v>
      </c>
      <c r="H333" s="18"/>
      <c r="I333" s="18"/>
      <c r="J333" s="18"/>
      <c r="K333" s="18"/>
      <c r="L333" s="19">
        <f t="shared" si="18"/>
        <v>3351.31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2912</v>
      </c>
      <c r="G337" s="41">
        <f t="shared" si="19"/>
        <v>439.31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3351.31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947978.43</v>
      </c>
      <c r="G338" s="41">
        <f t="shared" si="20"/>
        <v>282755.53999999998</v>
      </c>
      <c r="H338" s="41">
        <f t="shared" si="20"/>
        <v>49871.03</v>
      </c>
      <c r="I338" s="41">
        <f t="shared" si="20"/>
        <v>65672</v>
      </c>
      <c r="J338" s="41">
        <f t="shared" si="20"/>
        <v>27392.82</v>
      </c>
      <c r="K338" s="41">
        <f t="shared" si="20"/>
        <v>0</v>
      </c>
      <c r="L338" s="41">
        <f t="shared" si="20"/>
        <v>1373669.82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947978.43</v>
      </c>
      <c r="G352" s="41">
        <f>G338</f>
        <v>282755.53999999998</v>
      </c>
      <c r="H352" s="41">
        <f>H338</f>
        <v>49871.03</v>
      </c>
      <c r="I352" s="41">
        <f>I338</f>
        <v>65672</v>
      </c>
      <c r="J352" s="41">
        <f>J338</f>
        <v>27392.82</v>
      </c>
      <c r="K352" s="47">
        <f>K338+K351</f>
        <v>0</v>
      </c>
      <c r="L352" s="41">
        <f>L338+L351</f>
        <v>1373669.82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f>119562.02</f>
        <v>119562.02</v>
      </c>
      <c r="G358" s="18">
        <f>35480.92</f>
        <v>35480.92</v>
      </c>
      <c r="H358" s="18">
        <f>1477+373.74</f>
        <v>1850.74</v>
      </c>
      <c r="I358" s="18">
        <f>12715.47+112211.75</f>
        <v>124927.22</v>
      </c>
      <c r="J358" s="18"/>
      <c r="K358" s="18">
        <f>73.66</f>
        <v>73.66</v>
      </c>
      <c r="L358" s="13">
        <f>SUM(F358:K358)</f>
        <v>281894.56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>
        <f>97504.31</f>
        <v>97504.31</v>
      </c>
      <c r="G359" s="18">
        <f>30848.07</f>
        <v>30848.07</v>
      </c>
      <c r="H359" s="18">
        <f>366.38+52.43</f>
        <v>418.81</v>
      </c>
      <c r="I359" s="18">
        <f>8257.92+102468.6</f>
        <v>110726.52</v>
      </c>
      <c r="J359" s="18"/>
      <c r="K359" s="18">
        <f>36.42</f>
        <v>36.42</v>
      </c>
      <c r="L359" s="19">
        <f>SUM(F359:K359)</f>
        <v>239534.13000000003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>
        <f>101297.91</f>
        <v>101297.91</v>
      </c>
      <c r="G360" s="18">
        <f>28858.61</f>
        <v>28858.61</v>
      </c>
      <c r="H360" s="18">
        <f>125+101.82</f>
        <v>226.82</v>
      </c>
      <c r="I360" s="18">
        <f>18826.67+125488.4</f>
        <v>144315.07</v>
      </c>
      <c r="J360" s="18">
        <f>1135</f>
        <v>1135</v>
      </c>
      <c r="K360" s="18">
        <f>36.42</f>
        <v>36.42</v>
      </c>
      <c r="L360" s="19">
        <f>SUM(F360:K360)</f>
        <v>275869.83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318364.24</v>
      </c>
      <c r="G362" s="47">
        <f t="shared" si="22"/>
        <v>95187.599999999991</v>
      </c>
      <c r="H362" s="47">
        <f t="shared" si="22"/>
        <v>2496.3700000000003</v>
      </c>
      <c r="I362" s="47">
        <f t="shared" si="22"/>
        <v>379968.81</v>
      </c>
      <c r="J362" s="47">
        <f t="shared" si="22"/>
        <v>1135</v>
      </c>
      <c r="K362" s="47">
        <f t="shared" si="22"/>
        <v>146.5</v>
      </c>
      <c r="L362" s="47">
        <f t="shared" si="22"/>
        <v>797298.52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f>112211.75</f>
        <v>112211.75</v>
      </c>
      <c r="G367" s="18">
        <f>102468.6</f>
        <v>102468.6</v>
      </c>
      <c r="H367" s="18">
        <f>125488.4</f>
        <v>125488.4</v>
      </c>
      <c r="I367" s="56">
        <f>SUM(F367:H367)</f>
        <v>340168.75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f>12715.47</f>
        <v>12715.47</v>
      </c>
      <c r="G368" s="63">
        <f>8257.92</f>
        <v>8257.92</v>
      </c>
      <c r="H368" s="63">
        <f>18826.67</f>
        <v>18826.669999999998</v>
      </c>
      <c r="I368" s="56">
        <f>SUM(F368:H368)</f>
        <v>39800.06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124927.22</v>
      </c>
      <c r="G369" s="47">
        <f>SUM(G367:G368)</f>
        <v>110726.52</v>
      </c>
      <c r="H369" s="47">
        <f>SUM(H367:H368)</f>
        <v>144315.07</v>
      </c>
      <c r="I369" s="47">
        <f>SUM(I367:I368)</f>
        <v>379968.81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>
        <v>1259949.6499999999</v>
      </c>
      <c r="I379" s="18"/>
      <c r="J379" s="18"/>
      <c r="K379" s="18"/>
      <c r="L379" s="13">
        <f t="shared" si="23"/>
        <v>1259949.6499999999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1259949.6499999999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1259949.6499999999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>
        <f>2253.95+14.54+160.44+41.71+1635.14+48.52+32.28</f>
        <v>4186.58</v>
      </c>
      <c r="I400" s="18">
        <f>7642+2858+6080.01+35.35+441.53+111.25+4388.09+121.97+86.12</f>
        <v>21764.32</v>
      </c>
      <c r="J400" s="24" t="s">
        <v>289</v>
      </c>
      <c r="K400" s="24" t="s">
        <v>289</v>
      </c>
      <c r="L400" s="56">
        <f t="shared" si="26"/>
        <v>25950.9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4186.58</v>
      </c>
      <c r="I401" s="47">
        <f>SUM(I395:I400)</f>
        <v>21764.32</v>
      </c>
      <c r="J401" s="45" t="s">
        <v>289</v>
      </c>
      <c r="K401" s="45" t="s">
        <v>289</v>
      </c>
      <c r="L401" s="47">
        <f>SUM(L395:L400)</f>
        <v>25950.9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 t="s">
        <v>911</v>
      </c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>
        <f>367+3294.85+877.19+566.87+7460.49+618.84</f>
        <v>13185.24</v>
      </c>
      <c r="I403" s="18">
        <f>979+8789.08+250+2339.94+1512.15+19901.1+1650.72</f>
        <v>35421.99</v>
      </c>
      <c r="J403" s="24" t="s">
        <v>289</v>
      </c>
      <c r="K403" s="24" t="s">
        <v>289</v>
      </c>
      <c r="L403" s="56">
        <f>SUM(F403:K403)</f>
        <v>48607.229999999996</v>
      </c>
      <c r="M403" s="8"/>
      <c r="N403" s="272"/>
    </row>
    <row r="404" spans="1:21" s="3" customFormat="1" ht="12" customHeight="1" x14ac:dyDescent="0.15">
      <c r="A404" s="110" t="s">
        <v>912</v>
      </c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>
        <f>43456.37</f>
        <v>43456.37</v>
      </c>
      <c r="I404" s="18">
        <f>55.26+110029.9</f>
        <v>110085.15999999999</v>
      </c>
      <c r="J404" s="24" t="s">
        <v>289</v>
      </c>
      <c r="K404" s="24" t="s">
        <v>289</v>
      </c>
      <c r="L404" s="56">
        <f>SUM(F404:K404)</f>
        <v>153541.53</v>
      </c>
      <c r="M404" s="8"/>
      <c r="N404" s="272"/>
    </row>
    <row r="405" spans="1:21" s="3" customFormat="1" ht="12" customHeight="1" x14ac:dyDescent="0.15">
      <c r="A405" s="110" t="s">
        <v>913</v>
      </c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>
        <v>7737.35</v>
      </c>
      <c r="I405" s="18">
        <f>26811.39</f>
        <v>26811.39</v>
      </c>
      <c r="J405" s="24" t="s">
        <v>289</v>
      </c>
      <c r="K405" s="24" t="s">
        <v>289</v>
      </c>
      <c r="L405" s="56">
        <f>SUM(F405:K405)</f>
        <v>34548.74</v>
      </c>
      <c r="M405" s="8"/>
      <c r="N405" s="272"/>
    </row>
    <row r="406" spans="1:21" s="3" customFormat="1" ht="12" customHeight="1" thickBot="1" x14ac:dyDescent="0.2">
      <c r="A406" s="110" t="s">
        <v>914</v>
      </c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>
        <f>655.62+7788.03</f>
        <v>8443.65</v>
      </c>
      <c r="I406" s="18">
        <f>1748.91+20774.81</f>
        <v>22523.72</v>
      </c>
      <c r="J406" s="24" t="s">
        <v>289</v>
      </c>
      <c r="K406" s="24" t="s">
        <v>289</v>
      </c>
      <c r="L406" s="56">
        <f>SUM(F406:K406)</f>
        <v>30967.370000000003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72822.61</v>
      </c>
      <c r="I407" s="47">
        <f>SUM(I403:I406)</f>
        <v>194842.25999999998</v>
      </c>
      <c r="J407" s="49" t="s">
        <v>289</v>
      </c>
      <c r="K407" s="49" t="s">
        <v>289</v>
      </c>
      <c r="L407" s="47">
        <f>SUM(L403:L406)</f>
        <v>267664.87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77009.19</v>
      </c>
      <c r="I408" s="47">
        <f>I393+I401+I407</f>
        <v>216606.58</v>
      </c>
      <c r="J408" s="24" t="s">
        <v>289</v>
      </c>
      <c r="K408" s="24" t="s">
        <v>289</v>
      </c>
      <c r="L408" s="47">
        <f>L393+L401+L407</f>
        <v>293615.77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>
        <f>1500+500</f>
        <v>2000</v>
      </c>
      <c r="I426" s="18"/>
      <c r="J426" s="18"/>
      <c r="K426" s="18"/>
      <c r="L426" s="56">
        <f t="shared" si="29"/>
        <v>2000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2000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2000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 t="s">
        <v>911</v>
      </c>
      <c r="B429" s="6">
        <v>17</v>
      </c>
      <c r="C429" s="6">
        <v>15</v>
      </c>
      <c r="D429" s="2" t="s">
        <v>433</v>
      </c>
      <c r="E429" s="6"/>
      <c r="F429" s="18"/>
      <c r="G429" s="18"/>
      <c r="H429" s="18">
        <f>9020-2000-2500-300</f>
        <v>4220</v>
      </c>
      <c r="I429" s="18"/>
      <c r="J429" s="18"/>
      <c r="K429" s="18"/>
      <c r="L429" s="56">
        <f>SUM(F429:K429)</f>
        <v>4220</v>
      </c>
      <c r="M429" s="68"/>
      <c r="N429" s="227"/>
    </row>
    <row r="430" spans="1:21" s="58" customFormat="1" ht="12" customHeight="1" x14ac:dyDescent="0.15">
      <c r="A430" s="110" t="s">
        <v>912</v>
      </c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>
        <v>4119.99</v>
      </c>
      <c r="J430" s="18"/>
      <c r="K430" s="18">
        <v>30000</v>
      </c>
      <c r="L430" s="56">
        <f>SUM(F430:K430)</f>
        <v>34119.99</v>
      </c>
      <c r="M430" s="68"/>
      <c r="N430" s="227"/>
    </row>
    <row r="431" spans="1:21" ht="12" customHeight="1" x14ac:dyDescent="0.2">
      <c r="A431" s="110" t="s">
        <v>913</v>
      </c>
      <c r="B431" s="6">
        <v>17</v>
      </c>
      <c r="C431" s="6">
        <v>17</v>
      </c>
      <c r="D431" s="2" t="s">
        <v>433</v>
      </c>
      <c r="E431" s="6"/>
      <c r="F431" s="18"/>
      <c r="G431" s="18"/>
      <c r="H431" s="18">
        <v>2500</v>
      </c>
      <c r="I431" s="18"/>
      <c r="J431" s="18"/>
      <c r="K431" s="18">
        <v>5000</v>
      </c>
      <c r="L431" s="56">
        <f>SUM(F431:K431)</f>
        <v>7500</v>
      </c>
      <c r="N431" s="270"/>
    </row>
    <row r="432" spans="1:21" s="3" customFormat="1" ht="12" customHeight="1" thickBot="1" x14ac:dyDescent="0.2">
      <c r="A432" s="110" t="s">
        <v>311</v>
      </c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>
        <v>300</v>
      </c>
      <c r="J432" s="18"/>
      <c r="K432" s="18"/>
      <c r="L432" s="56">
        <f>SUM(F432:K432)</f>
        <v>300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6720</v>
      </c>
      <c r="I433" s="47">
        <f t="shared" si="31"/>
        <v>4419.99</v>
      </c>
      <c r="J433" s="47">
        <f t="shared" si="31"/>
        <v>0</v>
      </c>
      <c r="K433" s="47">
        <f t="shared" si="31"/>
        <v>35000</v>
      </c>
      <c r="L433" s="47">
        <f t="shared" si="31"/>
        <v>46139.99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8720</v>
      </c>
      <c r="I434" s="47">
        <f t="shared" si="32"/>
        <v>4419.99</v>
      </c>
      <c r="J434" s="47">
        <f t="shared" si="32"/>
        <v>0</v>
      </c>
      <c r="K434" s="47">
        <f t="shared" si="32"/>
        <v>35000</v>
      </c>
      <c r="L434" s="47">
        <f t="shared" si="32"/>
        <v>48139.99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>
        <v>162616.07</v>
      </c>
      <c r="H442" s="18">
        <v>2839449.08</v>
      </c>
      <c r="I442" s="56">
        <f t="shared" si="33"/>
        <v>3002065.15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162616.07</v>
      </c>
      <c r="H446" s="13">
        <f>SUM(H439:H445)</f>
        <v>2839449.08</v>
      </c>
      <c r="I446" s="13">
        <f>SUM(I439:I445)</f>
        <v>3002065.15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>
        <v>90061.75</v>
      </c>
      <c r="H456" s="18"/>
      <c r="I456" s="56">
        <f t="shared" si="34"/>
        <v>90061.75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>
        <f>157015.87-84447.86</f>
        <v>72568.009999999995</v>
      </c>
      <c r="H457" s="18">
        <v>2674494.5699999998</v>
      </c>
      <c r="I457" s="56">
        <f t="shared" si="34"/>
        <v>2747062.5799999996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>
        <f>5600.2-5613.89</f>
        <v>-13.690000000000509</v>
      </c>
      <c r="H458" s="18">
        <v>164954.51</v>
      </c>
      <c r="I458" s="56">
        <f t="shared" si="34"/>
        <v>164940.82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/>
      <c r="H459" s="18"/>
      <c r="I459" s="56">
        <f t="shared" si="34"/>
        <v>0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162616.07</v>
      </c>
      <c r="H460" s="83">
        <f>SUM(H454:H459)</f>
        <v>2839449.08</v>
      </c>
      <c r="I460" s="83">
        <f>SUM(I454:I459)</f>
        <v>3002065.1499999994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162616.07</v>
      </c>
      <c r="H461" s="42">
        <f>H452+H460</f>
        <v>2839449.08</v>
      </c>
      <c r="I461" s="42">
        <f>I452+I460</f>
        <v>3002065.1499999994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951725.48</v>
      </c>
      <c r="G465" s="18">
        <v>98978.69</v>
      </c>
      <c r="H465" s="18">
        <f>79519.61</f>
        <v>79519.61</v>
      </c>
      <c r="I465" s="18">
        <v>0</v>
      </c>
      <c r="J465" s="18">
        <v>2756589.37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34848609.200000003</v>
      </c>
      <c r="G468" s="18">
        <f>769249.54</f>
        <v>769249.54</v>
      </c>
      <c r="H468" s="18">
        <f>1300884.35+72830</f>
        <v>1373714.35</v>
      </c>
      <c r="I468" s="18">
        <v>1604565</v>
      </c>
      <c r="J468" s="18">
        <v>293615.77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34848609.200000003</v>
      </c>
      <c r="G470" s="53">
        <f>SUM(G468:G469)</f>
        <v>769249.54</v>
      </c>
      <c r="H470" s="53">
        <f>SUM(H468:H469)</f>
        <v>1373714.35</v>
      </c>
      <c r="I470" s="53">
        <f>SUM(I468:I469)</f>
        <v>1604565</v>
      </c>
      <c r="J470" s="53">
        <f>SUM(J468:J469)</f>
        <v>293615.77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f>34767625.78-373614.04+94954.19-3543.94+35400</f>
        <v>34520821.990000002</v>
      </c>
      <c r="G472" s="18">
        <f>797298.52</f>
        <v>797298.52</v>
      </c>
      <c r="H472" s="18">
        <f>1309165.42+64504.4</f>
        <v>1373669.8199999998</v>
      </c>
      <c r="I472" s="18">
        <f>1259949.65</f>
        <v>1259949.6499999999</v>
      </c>
      <c r="J472" s="18">
        <v>48139.99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34520821.990000002</v>
      </c>
      <c r="G474" s="53">
        <f>SUM(G472:G473)</f>
        <v>797298.52</v>
      </c>
      <c r="H474" s="53">
        <f>SUM(H472:H473)</f>
        <v>1373669.8199999998</v>
      </c>
      <c r="I474" s="53">
        <f>SUM(I472:I473)</f>
        <v>1259949.6499999999</v>
      </c>
      <c r="J474" s="53">
        <f>SUM(J472:J473)</f>
        <v>48139.99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1279512.6899999976</v>
      </c>
      <c r="G476" s="53">
        <f>(G465+G470)- G474</f>
        <v>70929.709999999963</v>
      </c>
      <c r="H476" s="53">
        <f>(H465+H470)- H474</f>
        <v>79564.140000000363</v>
      </c>
      <c r="I476" s="53">
        <f>(I465+I470)- I474</f>
        <v>344615.35000000009</v>
      </c>
      <c r="J476" s="53">
        <f>(J465+J470)- J474</f>
        <v>3002065.15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5</v>
      </c>
      <c r="G490" s="154">
        <v>20</v>
      </c>
      <c r="H490" s="154">
        <v>10</v>
      </c>
      <c r="I490" s="154">
        <v>20</v>
      </c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917</v>
      </c>
      <c r="G491" s="155" t="s">
        <v>915</v>
      </c>
      <c r="H491" s="155" t="s">
        <v>919</v>
      </c>
      <c r="I491" s="155" t="s">
        <v>921</v>
      </c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918</v>
      </c>
      <c r="G492" s="155" t="s">
        <v>916</v>
      </c>
      <c r="H492" s="155" t="s">
        <v>920</v>
      </c>
      <c r="I492" s="155" t="s">
        <v>922</v>
      </c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438009</v>
      </c>
      <c r="G493" s="18">
        <v>10895000</v>
      </c>
      <c r="H493" s="18">
        <v>1404300</v>
      </c>
      <c r="I493" s="18">
        <v>4393500</v>
      </c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>
        <v>2.56</v>
      </c>
      <c r="G494" s="18">
        <v>5.58</v>
      </c>
      <c r="H494" s="18">
        <v>5.0999999999999996</v>
      </c>
      <c r="I494" s="18">
        <v>4.43</v>
      </c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256329.11</v>
      </c>
      <c r="G495" s="18">
        <v>3810000</v>
      </c>
      <c r="H495" s="18">
        <f>H493</f>
        <v>1404300</v>
      </c>
      <c r="I495" s="18">
        <v>3295000</v>
      </c>
      <c r="J495" s="18"/>
      <c r="K495" s="53">
        <f>SUM(F495:J495)</f>
        <v>8765629.1099999994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0</v>
      </c>
      <c r="G496" s="18">
        <v>0</v>
      </c>
      <c r="H496" s="18">
        <v>0</v>
      </c>
      <c r="I496" s="18">
        <v>0</v>
      </c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94354.95</v>
      </c>
      <c r="G497" s="18">
        <v>545000</v>
      </c>
      <c r="H497" s="18">
        <v>0</v>
      </c>
      <c r="I497" s="18">
        <v>220000</v>
      </c>
      <c r="J497" s="18"/>
      <c r="K497" s="53">
        <f t="shared" si="35"/>
        <v>859354.95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f>F495-F497</f>
        <v>161974.15999999997</v>
      </c>
      <c r="G498" s="204">
        <f>G495-G497</f>
        <v>3265000</v>
      </c>
      <c r="H498" s="204">
        <f>H495-H497</f>
        <v>1404300</v>
      </c>
      <c r="I498" s="204">
        <f>I495-I497</f>
        <v>3075000</v>
      </c>
      <c r="J498" s="204"/>
      <c r="K498" s="205">
        <f t="shared" si="35"/>
        <v>7906274.1600000001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v>5815.76</v>
      </c>
      <c r="G499" s="18">
        <f>864265-107425.63*2</f>
        <v>649413.74</v>
      </c>
      <c r="H499" s="18">
        <f>418853.25-43193.6</f>
        <v>375659.65</v>
      </c>
      <c r="I499" s="18">
        <v>995738</v>
      </c>
      <c r="J499" s="18"/>
      <c r="K499" s="53">
        <f t="shared" si="35"/>
        <v>2026627.15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167789.91999999998</v>
      </c>
      <c r="G500" s="42">
        <f>SUM(G498:G499)</f>
        <v>3914413.74</v>
      </c>
      <c r="H500" s="42">
        <f>SUM(H498:H499)</f>
        <v>1779959.65</v>
      </c>
      <c r="I500" s="42">
        <f>SUM(I498:I499)</f>
        <v>4070738</v>
      </c>
      <c r="J500" s="42">
        <f>SUM(J498:J499)</f>
        <v>0</v>
      </c>
      <c r="K500" s="42">
        <f t="shared" si="35"/>
        <v>9932901.3100000005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v>96770.44</v>
      </c>
      <c r="G501" s="204">
        <f>G497</f>
        <v>545000</v>
      </c>
      <c r="H501" s="204">
        <v>144300</v>
      </c>
      <c r="I501" s="204">
        <f>I497</f>
        <v>220000</v>
      </c>
      <c r="J501" s="204"/>
      <c r="K501" s="205">
        <f t="shared" si="35"/>
        <v>1006070.44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v>4146.54</v>
      </c>
      <c r="G502" s="18">
        <f>92438.13*2</f>
        <v>184876.26</v>
      </c>
      <c r="H502" s="18">
        <f>37559.65+33880</f>
        <v>71439.649999999994</v>
      </c>
      <c r="I502" s="18">
        <f>68778.13*2</f>
        <v>137556.26</v>
      </c>
      <c r="J502" s="18"/>
      <c r="K502" s="53">
        <f t="shared" si="35"/>
        <v>398018.71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100916.98</v>
      </c>
      <c r="G503" s="42">
        <f>SUM(G501:G502)</f>
        <v>729876.26</v>
      </c>
      <c r="H503" s="42">
        <f>SUM(H501:H502)</f>
        <v>215739.65</v>
      </c>
      <c r="I503" s="42">
        <f>SUM(I501:I502)</f>
        <v>357556.26</v>
      </c>
      <c r="J503" s="42">
        <f>SUM(J501:J502)</f>
        <v>0</v>
      </c>
      <c r="K503" s="42">
        <f t="shared" si="35"/>
        <v>1404089.15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>
        <v>951744.54</v>
      </c>
      <c r="G507" s="144"/>
      <c r="H507" s="144">
        <v>27468.74</v>
      </c>
      <c r="I507" s="144">
        <f>F507-H507</f>
        <v>924275.8</v>
      </c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f>1480334.35+279770.56-289028.32</f>
        <v>1471076.59</v>
      </c>
      <c r="G521" s="18">
        <f>654531.82+47633.27-43450.15</f>
        <v>658714.93999999994</v>
      </c>
      <c r="H521" s="18">
        <f>58813.57+4389.44-9931.08</f>
        <v>53271.93</v>
      </c>
      <c r="I521" s="18">
        <f>6402.85+48379.1-41094.34</f>
        <v>13687.61</v>
      </c>
      <c r="J521" s="18">
        <f>1863.84</f>
        <v>1863.84</v>
      </c>
      <c r="K521" s="18"/>
      <c r="L521" s="88">
        <f>SUM(F521:K521)</f>
        <v>2198614.91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f>913994.97+17112.4</f>
        <v>931107.37</v>
      </c>
      <c r="G522" s="18">
        <f>404183.72+7232.17</f>
        <v>411415.88999999996</v>
      </c>
      <c r="H522" s="18">
        <f>63582.7</f>
        <v>63582.7</v>
      </c>
      <c r="I522" s="18">
        <f>2482.42</f>
        <v>2482.42</v>
      </c>
      <c r="J522" s="18">
        <f>732.21+299.14</f>
        <v>1031.3499999999999</v>
      </c>
      <c r="K522" s="18"/>
      <c r="L522" s="88">
        <f>SUM(F522:K522)</f>
        <v>1409619.73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f>939535.63+103838.91</f>
        <v>1043374.54</v>
      </c>
      <c r="G523" s="18">
        <f>440688.14+44242.49</f>
        <v>484930.63</v>
      </c>
      <c r="H523" s="18">
        <f>189688.21</f>
        <v>189688.21</v>
      </c>
      <c r="I523" s="18">
        <f>3407.53</f>
        <v>3407.53</v>
      </c>
      <c r="J523" s="18">
        <f>4497.84+138.06</f>
        <v>4635.9000000000005</v>
      </c>
      <c r="K523" s="18"/>
      <c r="L523" s="88">
        <f>SUM(F523:K523)</f>
        <v>1726036.8099999998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3445558.5</v>
      </c>
      <c r="G524" s="108">
        <f t="shared" ref="G524:L524" si="36">SUM(G521:G523)</f>
        <v>1555061.46</v>
      </c>
      <c r="H524" s="108">
        <f t="shared" si="36"/>
        <v>306542.83999999997</v>
      </c>
      <c r="I524" s="108">
        <f t="shared" si="36"/>
        <v>19577.560000000001</v>
      </c>
      <c r="J524" s="108">
        <f t="shared" si="36"/>
        <v>7531.09</v>
      </c>
      <c r="K524" s="108">
        <f t="shared" si="36"/>
        <v>0</v>
      </c>
      <c r="L524" s="89">
        <f t="shared" si="36"/>
        <v>5334271.45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f>274369.24+56928.69+25090.09+133732.63+91843.92+18943.34</f>
        <v>600907.91</v>
      </c>
      <c r="G526" s="18">
        <f>40614.33+233887.38</f>
        <v>274501.71000000002</v>
      </c>
      <c r="H526" s="18">
        <f>5154.02+39.34+244.42</f>
        <v>5437.7800000000007</v>
      </c>
      <c r="I526" s="18">
        <f>2536.38+386.69+725.38</f>
        <v>3648.4500000000003</v>
      </c>
      <c r="J526" s="18">
        <f>277.08</f>
        <v>277.08</v>
      </c>
      <c r="K526" s="18"/>
      <c r="L526" s="88">
        <f>SUM(F526:K526)</f>
        <v>884772.93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>
        <f>75979.18+15764.87+5138.93+11887.34+89657.16+5245.85</f>
        <v>203673.33</v>
      </c>
      <c r="G527" s="18">
        <f>39647.32+50847.69</f>
        <v>90495.010000000009</v>
      </c>
      <c r="H527" s="18">
        <f>5031.32+10.9+21.73</f>
        <v>5063.9499999999989</v>
      </c>
      <c r="I527" s="18">
        <f>2475.99+107.08+64.48</f>
        <v>2647.5499999999997</v>
      </c>
      <c r="J527" s="18">
        <f>270.49</f>
        <v>270.49</v>
      </c>
      <c r="K527" s="18"/>
      <c r="L527" s="88">
        <f>SUM(F527:K527)</f>
        <v>302150.32999999996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>
        <f>71758.11+14889.04+2971.84+37174.92+4954.41</f>
        <v>131748.31999999998</v>
      </c>
      <c r="G528" s="18">
        <f>16439.13+44021.51</f>
        <v>60460.639999999999</v>
      </c>
      <c r="H528" s="18">
        <f>2086.16+10.29+5.43</f>
        <v>2101.8799999999997</v>
      </c>
      <c r="I528" s="18">
        <f>1026.63+101.13+16.12</f>
        <v>1143.8800000000001</v>
      </c>
      <c r="J528" s="18">
        <f>112.15</f>
        <v>112.15</v>
      </c>
      <c r="K528" s="18"/>
      <c r="L528" s="88">
        <f>SUM(F528:K528)</f>
        <v>195566.86999999997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936329.55999999994</v>
      </c>
      <c r="G529" s="89">
        <f t="shared" ref="G529:L529" si="37">SUM(G526:G528)</f>
        <v>425457.36000000004</v>
      </c>
      <c r="H529" s="89">
        <f t="shared" si="37"/>
        <v>12603.609999999999</v>
      </c>
      <c r="I529" s="89">
        <f t="shared" si="37"/>
        <v>7439.88</v>
      </c>
      <c r="J529" s="89">
        <f t="shared" si="37"/>
        <v>659.71999999999991</v>
      </c>
      <c r="K529" s="89">
        <f t="shared" si="37"/>
        <v>0</v>
      </c>
      <c r="L529" s="89">
        <f t="shared" si="37"/>
        <v>1382490.13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f>88706.68+36702.39</f>
        <v>125409.06999999999</v>
      </c>
      <c r="G531" s="18">
        <f>69233.27</f>
        <v>69233.27</v>
      </c>
      <c r="H531" s="18">
        <f>15.29+2049.23</f>
        <v>2064.52</v>
      </c>
      <c r="I531" s="18">
        <f>5.4+1293.17</f>
        <v>1298.5700000000002</v>
      </c>
      <c r="J531" s="18">
        <f>179.59</f>
        <v>179.59</v>
      </c>
      <c r="K531" s="18">
        <f>497.94</f>
        <v>497.94</v>
      </c>
      <c r="L531" s="88">
        <f>SUM(F531:K531)</f>
        <v>198682.96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>
        <f>57491.42+23787.07</f>
        <v>81278.489999999991</v>
      </c>
      <c r="G532" s="18">
        <v>42772.22</v>
      </c>
      <c r="H532" s="18">
        <f>10.01+1328.12</f>
        <v>1338.1299999999999</v>
      </c>
      <c r="I532" s="18">
        <f>3.53+838.11</f>
        <v>841.64</v>
      </c>
      <c r="J532" s="18">
        <f>116.4</f>
        <v>116.4</v>
      </c>
      <c r="K532" s="18">
        <f>322.72</f>
        <v>322.72000000000003</v>
      </c>
      <c r="L532" s="88">
        <f>SUM(F532:K532)</f>
        <v>126669.59999999999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f>51366.9+21253.05</f>
        <v>72619.95</v>
      </c>
      <c r="G533" s="18">
        <v>41662.39</v>
      </c>
      <c r="H533" s="18">
        <f>9.7+1186.63</f>
        <v>1196.3300000000002</v>
      </c>
      <c r="I533" s="18">
        <f>3.42+748.83</f>
        <v>752.25</v>
      </c>
      <c r="J533" s="18">
        <f>104</f>
        <v>104</v>
      </c>
      <c r="K533" s="18">
        <f>288.34</f>
        <v>288.33999999999997</v>
      </c>
      <c r="L533" s="88">
        <f>SUM(F533:K533)</f>
        <v>116623.26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279307.51</v>
      </c>
      <c r="G534" s="89">
        <f t="shared" ref="G534:L534" si="38">SUM(G531:G533)</f>
        <v>153667.88</v>
      </c>
      <c r="H534" s="89">
        <f t="shared" si="38"/>
        <v>4598.9799999999996</v>
      </c>
      <c r="I534" s="89">
        <f t="shared" si="38"/>
        <v>2892.46</v>
      </c>
      <c r="J534" s="89">
        <f t="shared" si="38"/>
        <v>399.99</v>
      </c>
      <c r="K534" s="89">
        <f t="shared" si="38"/>
        <v>1109</v>
      </c>
      <c r="L534" s="89">
        <f t="shared" si="38"/>
        <v>441975.82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f>49372.49*0.39</f>
        <v>19255.271099999998</v>
      </c>
      <c r="I536" s="18"/>
      <c r="J536" s="18"/>
      <c r="K536" s="18"/>
      <c r="L536" s="88">
        <f>SUM(F536:K536)</f>
        <v>19255.271099999998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>
        <f>49372.49*0.277</f>
        <v>13676.17973</v>
      </c>
      <c r="I537" s="18"/>
      <c r="J537" s="18"/>
      <c r="K537" s="18"/>
      <c r="L537" s="88">
        <f>SUM(F537:K537)</f>
        <v>13676.17973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>
        <f>49372.49*0.333</f>
        <v>16441.03917</v>
      </c>
      <c r="I538" s="18"/>
      <c r="J538" s="18"/>
      <c r="K538" s="18"/>
      <c r="L538" s="88">
        <f>SUM(F538:K538)</f>
        <v>16441.03917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49372.490000000005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49372.490000000005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107817.17</v>
      </c>
      <c r="I541" s="18"/>
      <c r="J541" s="18"/>
      <c r="K541" s="18"/>
      <c r="L541" s="88">
        <f>SUM(F541:K541)</f>
        <v>107817.17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72720.960000000006</v>
      </c>
      <c r="I542" s="18"/>
      <c r="J542" s="18"/>
      <c r="K542" s="18"/>
      <c r="L542" s="88">
        <f>SUM(F542:K542)</f>
        <v>72720.960000000006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78667.27</v>
      </c>
      <c r="I543" s="18"/>
      <c r="J543" s="18"/>
      <c r="K543" s="18"/>
      <c r="L543" s="88">
        <f>SUM(F543:K543)</f>
        <v>78667.27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259205.40000000002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259205.40000000002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4661195.5699999994</v>
      </c>
      <c r="G545" s="89">
        <f t="shared" ref="G545:L545" si="41">G524+G529+G534+G539+G544</f>
        <v>2134186.7000000002</v>
      </c>
      <c r="H545" s="89">
        <f t="shared" si="41"/>
        <v>632323.31999999995</v>
      </c>
      <c r="I545" s="89">
        <f t="shared" si="41"/>
        <v>29909.9</v>
      </c>
      <c r="J545" s="89">
        <f t="shared" si="41"/>
        <v>8590.8000000000011</v>
      </c>
      <c r="K545" s="89">
        <f t="shared" si="41"/>
        <v>1109</v>
      </c>
      <c r="L545" s="89">
        <f t="shared" si="41"/>
        <v>7467315.290000001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2198614.91</v>
      </c>
      <c r="G549" s="87">
        <f>L526</f>
        <v>884772.93</v>
      </c>
      <c r="H549" s="87">
        <f>L531</f>
        <v>198682.96</v>
      </c>
      <c r="I549" s="87">
        <f>L536</f>
        <v>19255.271099999998</v>
      </c>
      <c r="J549" s="87">
        <f>L541</f>
        <v>107817.17</v>
      </c>
      <c r="K549" s="87">
        <f>SUM(F549:J549)</f>
        <v>3409143.2411000002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1409619.73</v>
      </c>
      <c r="G550" s="87">
        <f>L527</f>
        <v>302150.32999999996</v>
      </c>
      <c r="H550" s="87">
        <f>L532</f>
        <v>126669.59999999999</v>
      </c>
      <c r="I550" s="87">
        <f>L537</f>
        <v>13676.17973</v>
      </c>
      <c r="J550" s="87">
        <f>L542</f>
        <v>72720.960000000006</v>
      </c>
      <c r="K550" s="87">
        <f>SUM(F550:J550)</f>
        <v>1924836.7997300001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1726036.8099999998</v>
      </c>
      <c r="G551" s="87">
        <f>L528</f>
        <v>195566.86999999997</v>
      </c>
      <c r="H551" s="87">
        <f>L533</f>
        <v>116623.26</v>
      </c>
      <c r="I551" s="87">
        <f>L538</f>
        <v>16441.03917</v>
      </c>
      <c r="J551" s="87">
        <f>L543</f>
        <v>78667.27</v>
      </c>
      <c r="K551" s="87">
        <f>SUM(F551:J551)</f>
        <v>2133335.2491699997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5334271.45</v>
      </c>
      <c r="G552" s="89">
        <f t="shared" si="42"/>
        <v>1382490.13</v>
      </c>
      <c r="H552" s="89">
        <f t="shared" si="42"/>
        <v>441975.82</v>
      </c>
      <c r="I552" s="89">
        <f t="shared" si="42"/>
        <v>49372.490000000005</v>
      </c>
      <c r="J552" s="89">
        <f t="shared" si="42"/>
        <v>259205.40000000002</v>
      </c>
      <c r="K552" s="89">
        <f t="shared" si="42"/>
        <v>7467315.29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>
        <f>27079.88+261948.44</f>
        <v>289028.32</v>
      </c>
      <c r="G557" s="18">
        <f>4004.61+39445.54</f>
        <v>43450.15</v>
      </c>
      <c r="H557" s="18">
        <f>3439.44+1295.66+950+4245.98</f>
        <v>9931.08</v>
      </c>
      <c r="I557" s="18">
        <f>35436.24+5658.1</f>
        <v>41094.339999999997</v>
      </c>
      <c r="J557" s="18"/>
      <c r="K557" s="18"/>
      <c r="L557" s="88">
        <f>SUM(F557:K557)</f>
        <v>383503.89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289028.32</v>
      </c>
      <c r="G560" s="108">
        <f t="shared" si="43"/>
        <v>43450.15</v>
      </c>
      <c r="H560" s="108">
        <f t="shared" si="43"/>
        <v>9931.08</v>
      </c>
      <c r="I560" s="108">
        <f t="shared" si="43"/>
        <v>41094.339999999997</v>
      </c>
      <c r="J560" s="108">
        <f t="shared" si="43"/>
        <v>0</v>
      </c>
      <c r="K560" s="108">
        <f t="shared" si="43"/>
        <v>0</v>
      </c>
      <c r="L560" s="89">
        <f t="shared" si="43"/>
        <v>383503.89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>
        <f>1040+693.2+23889.06+7032.44</f>
        <v>32654.7</v>
      </c>
      <c r="G562" s="18">
        <f>-31.18+(34608.83+1379.51)*0.39</f>
        <v>14004.272600000002</v>
      </c>
      <c r="H562" s="18"/>
      <c r="I562" s="18">
        <f>50.4</f>
        <v>50.4</v>
      </c>
      <c r="J562" s="18">
        <f>1303.04</f>
        <v>1303.04</v>
      </c>
      <c r="K562" s="18"/>
      <c r="L562" s="88">
        <f>SUM(F562:K562)</f>
        <v>48012.412600000003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>
        <f>16967.36+4994.84</f>
        <v>21962.2</v>
      </c>
      <c r="G563" s="18">
        <f>(34608.83+1379.51)*0.277</f>
        <v>9968.7701800000013</v>
      </c>
      <c r="H563" s="18"/>
      <c r="I563" s="18"/>
      <c r="J563" s="18"/>
      <c r="K563" s="18"/>
      <c r="L563" s="88">
        <f>SUM(F563:K563)</f>
        <v>31930.970180000004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>
        <f>20397.58+6004.63</f>
        <v>26402.210000000003</v>
      </c>
      <c r="G564" s="18">
        <f>(34608.83+1379.51)*0.333</f>
        <v>11984.117220000002</v>
      </c>
      <c r="H564" s="18"/>
      <c r="I564" s="18"/>
      <c r="J564" s="18"/>
      <c r="K564" s="18"/>
      <c r="L564" s="88">
        <f>SUM(F564:K564)</f>
        <v>38386.327220000006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81019.11</v>
      </c>
      <c r="G565" s="89">
        <f t="shared" si="44"/>
        <v>35957.160000000003</v>
      </c>
      <c r="H565" s="89">
        <f t="shared" si="44"/>
        <v>0</v>
      </c>
      <c r="I565" s="89">
        <f t="shared" si="44"/>
        <v>50.4</v>
      </c>
      <c r="J565" s="89">
        <f t="shared" si="44"/>
        <v>1303.04</v>
      </c>
      <c r="K565" s="89">
        <f t="shared" si="44"/>
        <v>0</v>
      </c>
      <c r="L565" s="89">
        <f t="shared" si="44"/>
        <v>118329.71000000002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>
        <f>72859+400</f>
        <v>73259</v>
      </c>
      <c r="G567" s="18">
        <f>38662.97</f>
        <v>38662.97</v>
      </c>
      <c r="H567" s="18"/>
      <c r="I567" s="18">
        <f>84.61</f>
        <v>84.61</v>
      </c>
      <c r="J567" s="18"/>
      <c r="K567" s="18">
        <f>279.34</f>
        <v>279.33999999999997</v>
      </c>
      <c r="L567" s="88">
        <f>SUM(F567:K567)</f>
        <v>112285.92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>
        <v>1800</v>
      </c>
      <c r="G568" s="18">
        <v>392.58</v>
      </c>
      <c r="H568" s="18"/>
      <c r="I568" s="18">
        <f>5000</f>
        <v>5000</v>
      </c>
      <c r="J568" s="18"/>
      <c r="K568" s="18">
        <f>511</f>
        <v>511</v>
      </c>
      <c r="L568" s="88">
        <f>SUM(F568:K568)</f>
        <v>7703.58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75059</v>
      </c>
      <c r="G570" s="193">
        <f t="shared" ref="G570:L570" si="45">SUM(G567:G569)</f>
        <v>39055.550000000003</v>
      </c>
      <c r="H570" s="193">
        <f t="shared" si="45"/>
        <v>0</v>
      </c>
      <c r="I570" s="193">
        <f t="shared" si="45"/>
        <v>5084.6099999999997</v>
      </c>
      <c r="J570" s="193">
        <f t="shared" si="45"/>
        <v>0</v>
      </c>
      <c r="K570" s="193">
        <f t="shared" si="45"/>
        <v>790.33999999999992</v>
      </c>
      <c r="L570" s="193">
        <f t="shared" si="45"/>
        <v>119989.5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445106.43</v>
      </c>
      <c r="G571" s="89">
        <f t="shared" ref="G571:L571" si="46">G560+G565+G570</f>
        <v>118462.86</v>
      </c>
      <c r="H571" s="89">
        <f t="shared" si="46"/>
        <v>9931.08</v>
      </c>
      <c r="I571" s="89">
        <f t="shared" si="46"/>
        <v>46229.35</v>
      </c>
      <c r="J571" s="89">
        <f t="shared" si="46"/>
        <v>1303.04</v>
      </c>
      <c r="K571" s="89">
        <f t="shared" si="46"/>
        <v>790.33999999999992</v>
      </c>
      <c r="L571" s="89">
        <f t="shared" si="46"/>
        <v>621823.10000000009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f>16599.44+2137.2</f>
        <v>18736.64</v>
      </c>
      <c r="G582" s="18">
        <f>33341.3+3917.7</f>
        <v>37259</v>
      </c>
      <c r="H582" s="18">
        <f>148805.42-3082.09+18152.1</f>
        <v>163875.43000000002</v>
      </c>
      <c r="I582" s="87">
        <f t="shared" si="47"/>
        <v>219871.07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>
        <f>11435-4326.48</f>
        <v>7108.52</v>
      </c>
      <c r="I584" s="87">
        <f t="shared" si="47"/>
        <v>7108.52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f>356757.69</f>
        <v>356757.69</v>
      </c>
      <c r="I591" s="18">
        <f>210232.22</f>
        <v>210232.22</v>
      </c>
      <c r="J591" s="18">
        <f>70077.41</f>
        <v>70077.41</v>
      </c>
      <c r="K591" s="104">
        <f t="shared" ref="K591:K597" si="48">SUM(H591:J591)</f>
        <v>637067.32000000007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f>107817.17</f>
        <v>107817.17</v>
      </c>
      <c r="I592" s="18">
        <f>75570.62-2849.66</f>
        <v>72720.959999999992</v>
      </c>
      <c r="J592" s="18">
        <f>81286.36-2619.09</f>
        <v>78667.27</v>
      </c>
      <c r="K592" s="104">
        <f t="shared" si="48"/>
        <v>259205.40000000002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>
        <f>10664.5-6699.5+4340</f>
        <v>8305</v>
      </c>
      <c r="K593" s="104">
        <f t="shared" si="48"/>
        <v>8305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>
        <f>13655.88-393.15+1284.75</f>
        <v>14547.48</v>
      </c>
      <c r="J594" s="18">
        <f>66304.7+579.75</f>
        <v>66884.45</v>
      </c>
      <c r="K594" s="104">
        <f t="shared" si="48"/>
        <v>81431.929999999993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464574.86</v>
      </c>
      <c r="I598" s="108">
        <f>SUM(I591:I597)</f>
        <v>297500.65999999997</v>
      </c>
      <c r="J598" s="108">
        <f>SUM(J591:J597)</f>
        <v>223934.13</v>
      </c>
      <c r="K598" s="108">
        <f>SUM(K591:K597)</f>
        <v>986009.65000000014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f>65544.15+1863.84</f>
        <v>67407.989999999991</v>
      </c>
      <c r="I604" s="18">
        <f>89195.82+1253.39</f>
        <v>90449.21</v>
      </c>
      <c r="J604" s="18">
        <f>108114.43+24275.59</f>
        <v>132390.01999999999</v>
      </c>
      <c r="K604" s="104">
        <f>SUM(H604:J604)</f>
        <v>290247.21999999997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67407.989999999991</v>
      </c>
      <c r="I605" s="108">
        <f>SUM(I602:I604)</f>
        <v>90449.21</v>
      </c>
      <c r="J605" s="108">
        <f>SUM(J602:J604)</f>
        <v>132390.01999999999</v>
      </c>
      <c r="K605" s="108">
        <f>SUM(K602:K604)</f>
        <v>290247.21999999997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f>27864.03+9100+7800+2902.5+2250</f>
        <v>49916.53</v>
      </c>
      <c r="G611" s="18">
        <f>27864.03*0.2181+91.37+76.49+918.28+768.9+80.78+736.32+368.16</f>
        <v>9117.4449429999986</v>
      </c>
      <c r="H611" s="18"/>
      <c r="I611" s="18">
        <f>500+65+122.63</f>
        <v>687.63</v>
      </c>
      <c r="J611" s="18"/>
      <c r="K611" s="18"/>
      <c r="L611" s="88">
        <f>SUM(F611:K611)</f>
        <v>59721.604942999991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>
        <f>5095*1.2181</f>
        <v>6206.2195000000002</v>
      </c>
      <c r="J612" s="18"/>
      <c r="K612" s="18"/>
      <c r="L612" s="88">
        <f>SUM(F612:K612)</f>
        <v>6206.2195000000002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>
        <f>10920*1.2181</f>
        <v>13301.652</v>
      </c>
      <c r="J613" s="18"/>
      <c r="K613" s="18"/>
      <c r="L613" s="88">
        <f>SUM(F613:K613)</f>
        <v>13301.652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49916.53</v>
      </c>
      <c r="G614" s="108">
        <f t="shared" si="49"/>
        <v>9117.4449429999986</v>
      </c>
      <c r="H614" s="108">
        <f t="shared" si="49"/>
        <v>0</v>
      </c>
      <c r="I614" s="108">
        <f t="shared" si="49"/>
        <v>20195.501499999998</v>
      </c>
      <c r="J614" s="108">
        <f t="shared" si="49"/>
        <v>0</v>
      </c>
      <c r="K614" s="108">
        <f t="shared" si="49"/>
        <v>0</v>
      </c>
      <c r="L614" s="89">
        <f t="shared" si="49"/>
        <v>79229.476442999992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1560770.85</v>
      </c>
      <c r="H617" s="109">
        <f>SUM(F52)</f>
        <v>1560770.85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70929.709999999992</v>
      </c>
      <c r="H618" s="109">
        <f>SUM(G52)</f>
        <v>70929.710000000006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370923.07</v>
      </c>
      <c r="H619" s="109">
        <f>SUM(H52)</f>
        <v>370923.07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344615.35</v>
      </c>
      <c r="H620" s="109">
        <f>SUM(I52)</f>
        <v>344615.35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3002065.15</v>
      </c>
      <c r="H621" s="109">
        <f>SUM(J52)</f>
        <v>3002065.1499999994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1279512.69</v>
      </c>
      <c r="H622" s="109">
        <f>F476</f>
        <v>1279512.6899999976</v>
      </c>
      <c r="I622" s="121" t="s">
        <v>101</v>
      </c>
      <c r="J622" s="109">
        <f t="shared" ref="J622:J655" si="50">G622-H622</f>
        <v>2.3283064365386963E-9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70929.710000000006</v>
      </c>
      <c r="H623" s="109">
        <f>G476</f>
        <v>70929.709999999963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79564.14</v>
      </c>
      <c r="H624" s="109">
        <f>H476</f>
        <v>79564.140000000363</v>
      </c>
      <c r="I624" s="121" t="s">
        <v>103</v>
      </c>
      <c r="J624" s="109">
        <f t="shared" si="50"/>
        <v>-3.637978807091713E-10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344615.35</v>
      </c>
      <c r="H625" s="109">
        <f>I476</f>
        <v>344615.35000000009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3002065.1499999994</v>
      </c>
      <c r="H626" s="109">
        <f>J476</f>
        <v>3002065.15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34848609.199999996</v>
      </c>
      <c r="H627" s="104">
        <f>SUM(F468)</f>
        <v>34848609.200000003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769249.53999999992</v>
      </c>
      <c r="H628" s="104">
        <f>SUM(G468)</f>
        <v>769249.54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1373714.35</v>
      </c>
      <c r="H629" s="104">
        <f>SUM(H468)</f>
        <v>1373714.35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1604565</v>
      </c>
      <c r="H630" s="104">
        <f>SUM(I468)</f>
        <v>1604565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293615.77</v>
      </c>
      <c r="H631" s="104">
        <f>SUM(J468)</f>
        <v>293615.77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34520821.990000002</v>
      </c>
      <c r="H632" s="104">
        <f>SUM(F472)</f>
        <v>34520821.990000002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1373669.82</v>
      </c>
      <c r="H633" s="104">
        <f>SUM(H472)</f>
        <v>1373669.8199999998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379968.81</v>
      </c>
      <c r="H634" s="104">
        <f>I369</f>
        <v>379968.81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797298.52</v>
      </c>
      <c r="H635" s="104">
        <f>SUM(G472)</f>
        <v>797298.52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1259949.6499999999</v>
      </c>
      <c r="H636" s="104">
        <f>SUM(I472)</f>
        <v>1259949.6499999999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293615.77</v>
      </c>
      <c r="H637" s="164">
        <f>SUM(J468)</f>
        <v>293615.77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48139.99</v>
      </c>
      <c r="H638" s="164">
        <f>SUM(J472)</f>
        <v>48139.99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162616.07</v>
      </c>
      <c r="H640" s="104">
        <f>SUM(G461)</f>
        <v>162616.07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2839449.08</v>
      </c>
      <c r="H641" s="104">
        <f>SUM(H461)</f>
        <v>2839449.08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3002065.15</v>
      </c>
      <c r="H642" s="104">
        <f>SUM(I461)</f>
        <v>3002065.1499999994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77009.19</v>
      </c>
      <c r="H644" s="104">
        <f>H408</f>
        <v>77009.19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293615.77</v>
      </c>
      <c r="H646" s="104">
        <f>L408</f>
        <v>293615.77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986009.65000000014</v>
      </c>
      <c r="H647" s="104">
        <f>L208+L226+L244</f>
        <v>986009.65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290247.21999999997</v>
      </c>
      <c r="H648" s="104">
        <f>(J257+J338)-(J255+J336)</f>
        <v>290247.22000000003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464574.86</v>
      </c>
      <c r="H649" s="104">
        <f>H598</f>
        <v>464574.86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297500.66000000003</v>
      </c>
      <c r="H650" s="104">
        <f>I598</f>
        <v>297500.65999999997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223934.13</v>
      </c>
      <c r="H651" s="104">
        <f>J598</f>
        <v>223934.13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13507787.6719</v>
      </c>
      <c r="G660" s="19">
        <f>(L229+L309+L359)</f>
        <v>9036409.7031700015</v>
      </c>
      <c r="H660" s="19">
        <f>(L247+L328+L360)</f>
        <v>12863841.54493</v>
      </c>
      <c r="I660" s="19">
        <f>SUM(F660:H660)</f>
        <v>35408038.920000002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158358.93482370742</v>
      </c>
      <c r="G661" s="19">
        <f>(L359/IF(SUM(L358:L360)=0,1,SUM(L358:L360))*(SUM(G97:G110)))</f>
        <v>134562.26214767489</v>
      </c>
      <c r="H661" s="19">
        <f>(L360/IF(SUM(L358:L360)=0,1,SUM(L358:L360))*(SUM(G97:G110)))</f>
        <v>154974.44302861768</v>
      </c>
      <c r="I661" s="19">
        <f>SUM(F661:H661)</f>
        <v>447895.64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468609.86</v>
      </c>
      <c r="G662" s="19">
        <f>(L226+L306)-(J226+J306)</f>
        <v>297500.66000000003</v>
      </c>
      <c r="H662" s="19">
        <f>(L244+L325)-(J244+J325)</f>
        <v>230764.62</v>
      </c>
      <c r="I662" s="19">
        <f>SUM(F662:H662)</f>
        <v>996875.14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145866.23494299999</v>
      </c>
      <c r="G663" s="199">
        <f>SUM(G575:G587)+SUM(I602:I604)+L612</f>
        <v>133914.4295</v>
      </c>
      <c r="H663" s="199">
        <f>SUM(H575:H587)+SUM(J602:J604)+L613</f>
        <v>316675.62199999997</v>
      </c>
      <c r="I663" s="19">
        <f>SUM(F663:H663)</f>
        <v>596456.28644299996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12734952.642133294</v>
      </c>
      <c r="G664" s="19">
        <f>G660-SUM(G661:G663)</f>
        <v>8470432.3515223265</v>
      </c>
      <c r="H664" s="19">
        <f>H660-SUM(H661:H663)</f>
        <v>12161426.859901382</v>
      </c>
      <c r="I664" s="19">
        <f>I660-SUM(I661:I663)</f>
        <v>33366811.853557002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977.3</v>
      </c>
      <c r="G665" s="248">
        <v>695.71</v>
      </c>
      <c r="H665" s="248">
        <v>836.01</v>
      </c>
      <c r="I665" s="19">
        <f>SUM(F665:H665)</f>
        <v>2509.02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13030.75</v>
      </c>
      <c r="G667" s="19">
        <f>ROUND(G664/G665,2)</f>
        <v>12175.23</v>
      </c>
      <c r="H667" s="19">
        <f>ROUND(H664/H665,2)</f>
        <v>14546.99</v>
      </c>
      <c r="I667" s="19">
        <f>ROUND(I664/I665,2)</f>
        <v>13298.74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4.9400000000000004</v>
      </c>
      <c r="I670" s="19">
        <f>SUM(F670:H670)</f>
        <v>4.9400000000000004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13030.75</v>
      </c>
      <c r="G672" s="19">
        <f>ROUND((G664+G669)/(G665+G670),2)</f>
        <v>12175.23</v>
      </c>
      <c r="H672" s="19">
        <f>ROUND((H664+H669)/(H665+H670),2)</f>
        <v>14461.53</v>
      </c>
      <c r="I672" s="19">
        <f>ROUND((I664+I669)/(I665+I670),2)</f>
        <v>13272.61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topLeftCell="A4" workbookViewId="0">
      <selection activeCell="C38" sqref="C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Milford School District SAU#40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9770645.5399999991</v>
      </c>
      <c r="C9" s="229">
        <f>'DOE25'!G197+'DOE25'!G215+'DOE25'!G233+'DOE25'!G276+'DOE25'!G295+'DOE25'!G314</f>
        <v>4888004.97</v>
      </c>
    </row>
    <row r="10" spans="1:3" x14ac:dyDescent="0.2">
      <c r="A10" t="s">
        <v>779</v>
      </c>
      <c r="B10" s="240">
        <v>9299700.7699999996</v>
      </c>
      <c r="C10" s="240">
        <f>C9-C11-C12</f>
        <v>4819171.8755549993</v>
      </c>
    </row>
    <row r="11" spans="1:3" x14ac:dyDescent="0.2">
      <c r="A11" t="s">
        <v>780</v>
      </c>
      <c r="B11" s="240">
        <v>264424.92</v>
      </c>
      <c r="C11" s="240">
        <f>B11*(0.0765+0.002)+8299.2+22406.37+396.27+762.09</f>
        <v>52621.286219999987</v>
      </c>
    </row>
    <row r="12" spans="1:3" x14ac:dyDescent="0.2">
      <c r="A12" t="s">
        <v>781</v>
      </c>
      <c r="B12" s="240">
        <v>206519.85</v>
      </c>
      <c r="C12" s="240">
        <f>B12*(0.0765+0.002)</f>
        <v>16211.808225000001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9770645.5399999991</v>
      </c>
      <c r="C13" s="231">
        <f>SUM(C10:C12)</f>
        <v>4888004.97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3734586.82</v>
      </c>
      <c r="C18" s="229">
        <f>'DOE25'!G198+'DOE25'!G216+'DOE25'!G234+'DOE25'!G277+'DOE25'!G296+'DOE25'!G315</f>
        <v>1598511.61</v>
      </c>
    </row>
    <row r="19" spans="1:3" x14ac:dyDescent="0.2">
      <c r="A19" t="s">
        <v>779</v>
      </c>
      <c r="B19" s="240">
        <v>1942667.24</v>
      </c>
      <c r="C19" s="240">
        <f>C18-C20-C21</f>
        <v>420420.8563200002</v>
      </c>
    </row>
    <row r="20" spans="1:3" x14ac:dyDescent="0.2">
      <c r="A20" t="s">
        <v>780</v>
      </c>
      <c r="B20" s="240">
        <v>1699616.48</v>
      </c>
      <c r="C20" s="240">
        <f>B20*(0.0765+0.002)+473466.72+269024.79+40793.2+48033.71+147275.74</f>
        <v>1112014.0536799999</v>
      </c>
    </row>
    <row r="21" spans="1:3" x14ac:dyDescent="0.2">
      <c r="A21" t="s">
        <v>781</v>
      </c>
      <c r="B21" s="240">
        <v>92303.1</v>
      </c>
      <c r="C21" s="240">
        <v>66076.7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3734586.82</v>
      </c>
      <c r="C22" s="231">
        <f>SUM(C19:C21)</f>
        <v>1598511.61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745182</v>
      </c>
      <c r="C27" s="234">
        <f>'DOE25'!G199+'DOE25'!G217+'DOE25'!G235+'DOE25'!G278+'DOE25'!G297+'DOE25'!G316</f>
        <v>394184.86</v>
      </c>
    </row>
    <row r="28" spans="1:3" x14ac:dyDescent="0.2">
      <c r="A28" t="s">
        <v>779</v>
      </c>
      <c r="B28" s="240">
        <v>745182</v>
      </c>
      <c r="C28" s="240">
        <v>394184.86</v>
      </c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745182</v>
      </c>
      <c r="C31" s="231">
        <f>SUM(C28:C30)</f>
        <v>394184.86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228730.59</v>
      </c>
      <c r="C36" s="235">
        <f>'DOE25'!G200+'DOE25'!G218+'DOE25'!G236+'DOE25'!G279+'DOE25'!G298+'DOE25'!G317</f>
        <v>25493.73</v>
      </c>
    </row>
    <row r="37" spans="1:3" x14ac:dyDescent="0.2">
      <c r="A37" t="s">
        <v>779</v>
      </c>
      <c r="B37" s="240">
        <f>43879.03+9100+7800</f>
        <v>60779.03</v>
      </c>
      <c r="C37" s="240">
        <f>C36-C38-C39</f>
        <v>12090.511410000001</v>
      </c>
    </row>
    <row r="38" spans="1:3" x14ac:dyDescent="0.2">
      <c r="A38" t="s">
        <v>780</v>
      </c>
      <c r="B38" s="240">
        <v>5152.5</v>
      </c>
      <c r="C38" s="240">
        <f>B38*(0.0765+0.1077)</f>
        <v>949.09050000000002</v>
      </c>
    </row>
    <row r="39" spans="1:3" x14ac:dyDescent="0.2">
      <c r="A39" t="s">
        <v>781</v>
      </c>
      <c r="B39" s="240">
        <f>1098+34871+126830.06</f>
        <v>162799.06</v>
      </c>
      <c r="C39" s="240">
        <f>B39*0.0765</f>
        <v>12454.12809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228730.59</v>
      </c>
      <c r="C40" s="231">
        <f>SUM(C37:C39)</f>
        <v>25493.730000000003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F39" sqref="F39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Milford School District SAU#40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21702335.190000001</v>
      </c>
      <c r="D5" s="20">
        <f>SUM('DOE25'!L197:L200)+SUM('DOE25'!L215:L218)+SUM('DOE25'!L233:L236)-F5-G5</f>
        <v>21510867.52</v>
      </c>
      <c r="E5" s="243"/>
      <c r="F5" s="255">
        <f>SUM('DOE25'!J197:J200)+SUM('DOE25'!J215:J218)+SUM('DOE25'!J233:J236)</f>
        <v>173989.25</v>
      </c>
      <c r="G5" s="53">
        <f>SUM('DOE25'!K197:K200)+SUM('DOE25'!K215:K218)+SUM('DOE25'!K233:K236)</f>
        <v>17478.419999999998</v>
      </c>
      <c r="H5" s="259"/>
    </row>
    <row r="6" spans="1:9" x14ac:dyDescent="0.2">
      <c r="A6" s="32">
        <v>2100</v>
      </c>
      <c r="B6" t="s">
        <v>801</v>
      </c>
      <c r="C6" s="245">
        <f t="shared" si="0"/>
        <v>2764959.76</v>
      </c>
      <c r="D6" s="20">
        <f>'DOE25'!L202+'DOE25'!L220+'DOE25'!L238-F6-G6</f>
        <v>2762724.75</v>
      </c>
      <c r="E6" s="243"/>
      <c r="F6" s="255">
        <f>'DOE25'!J202+'DOE25'!J220+'DOE25'!J238</f>
        <v>1796.0099999999998</v>
      </c>
      <c r="G6" s="53">
        <f>'DOE25'!K202+'DOE25'!K220+'DOE25'!K238</f>
        <v>439</v>
      </c>
      <c r="H6" s="259"/>
    </row>
    <row r="7" spans="1:9" x14ac:dyDescent="0.2">
      <c r="A7" s="32">
        <v>2200</v>
      </c>
      <c r="B7" t="s">
        <v>834</v>
      </c>
      <c r="C7" s="245">
        <f t="shared" si="0"/>
        <v>494748.55000000005</v>
      </c>
      <c r="D7" s="20">
        <f>'DOE25'!L203+'DOE25'!L221+'DOE25'!L239-F7-G7</f>
        <v>491766.19000000006</v>
      </c>
      <c r="E7" s="243"/>
      <c r="F7" s="255">
        <f>'DOE25'!J203+'DOE25'!J221+'DOE25'!J239</f>
        <v>2982.3599999999997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1721524.27</v>
      </c>
      <c r="D8" s="243"/>
      <c r="E8" s="20">
        <f>'DOE25'!L204+'DOE25'!L222+'DOE25'!L240-F8-G8-D9-D11</f>
        <v>1710267.01</v>
      </c>
      <c r="F8" s="255">
        <f>'DOE25'!J204+'DOE25'!J222+'DOE25'!J240</f>
        <v>399.99</v>
      </c>
      <c r="G8" s="53">
        <f>'DOE25'!K204+'DOE25'!K222+'DOE25'!K240</f>
        <v>10857.27</v>
      </c>
      <c r="H8" s="259"/>
    </row>
    <row r="9" spans="1:9" x14ac:dyDescent="0.2">
      <c r="A9" s="32">
        <v>2310</v>
      </c>
      <c r="B9" t="s">
        <v>818</v>
      </c>
      <c r="C9" s="245">
        <f t="shared" si="0"/>
        <v>121678.43</v>
      </c>
      <c r="D9" s="244">
        <f>121678.43</f>
        <v>121678.43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15800</v>
      </c>
      <c r="D10" s="243"/>
      <c r="E10" s="244">
        <f>15800</f>
        <v>15800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201073.96</v>
      </c>
      <c r="D11" s="244">
        <f>201073.96</f>
        <v>201073.96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1923630.7999999998</v>
      </c>
      <c r="D12" s="20">
        <f>'DOE25'!L205+'DOE25'!L223+'DOE25'!L241-F12-G12</f>
        <v>1904063.3399999999</v>
      </c>
      <c r="E12" s="243"/>
      <c r="F12" s="255">
        <f>'DOE25'!J205+'DOE25'!J223+'DOE25'!J241</f>
        <v>294</v>
      </c>
      <c r="G12" s="53">
        <f>'DOE25'!K205+'DOE25'!K223+'DOE25'!K241</f>
        <v>19273.46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2637369.11</v>
      </c>
      <c r="D14" s="20">
        <f>'DOE25'!L207+'DOE25'!L225+'DOE25'!L243-F14-G14</f>
        <v>2625483.71</v>
      </c>
      <c r="E14" s="243"/>
      <c r="F14" s="255">
        <f>'DOE25'!J207+'DOE25'!J225+'DOE25'!J243</f>
        <v>11885.4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986009.65</v>
      </c>
      <c r="D15" s="20">
        <f>'DOE25'!L208+'DOE25'!L226+'DOE25'!L244-F15-G15</f>
        <v>986009.65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687092.17</v>
      </c>
      <c r="D16" s="243"/>
      <c r="E16" s="20">
        <f>'DOE25'!L209+'DOE25'!L227+'DOE25'!L245-F16-G16</f>
        <v>615584.78</v>
      </c>
      <c r="F16" s="255">
        <f>'DOE25'!J209+'DOE25'!J227+'DOE25'!J245</f>
        <v>71507.39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1280400.1000000001</v>
      </c>
      <c r="D25" s="243"/>
      <c r="E25" s="243"/>
      <c r="F25" s="258"/>
      <c r="G25" s="256"/>
      <c r="H25" s="257">
        <f>'DOE25'!L260+'DOE25'!L261+'DOE25'!L341+'DOE25'!L342</f>
        <v>1280400.1000000001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457129.77</v>
      </c>
      <c r="D29" s="20">
        <f>'DOE25'!L358+'DOE25'!L359+'DOE25'!L360-'DOE25'!I367-F29-G29</f>
        <v>455848.27</v>
      </c>
      <c r="E29" s="243"/>
      <c r="F29" s="255">
        <f>'DOE25'!J358+'DOE25'!J359+'DOE25'!J360</f>
        <v>1135</v>
      </c>
      <c r="G29" s="53">
        <f>'DOE25'!K358+'DOE25'!K359+'DOE25'!K360</f>
        <v>146.5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1373669.82</v>
      </c>
      <c r="D31" s="20">
        <f>'DOE25'!L290+'DOE25'!L309+'DOE25'!L328+'DOE25'!L333+'DOE25'!L334+'DOE25'!L335-F31-G31</f>
        <v>1346277</v>
      </c>
      <c r="E31" s="243"/>
      <c r="F31" s="255">
        <f>'DOE25'!J290+'DOE25'!J309+'DOE25'!J328+'DOE25'!J333+'DOE25'!J334+'DOE25'!J335</f>
        <v>27392.82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32405792.82</v>
      </c>
      <c r="E33" s="246">
        <f>SUM(E5:E31)</f>
        <v>2341651.79</v>
      </c>
      <c r="F33" s="246">
        <f>SUM(F5:F31)</f>
        <v>291382.21999999997</v>
      </c>
      <c r="G33" s="246">
        <f>SUM(G5:G31)</f>
        <v>48194.649999999994</v>
      </c>
      <c r="H33" s="246">
        <f>SUM(H5:H31)</f>
        <v>1280400.1000000001</v>
      </c>
    </row>
    <row r="35" spans="2:8" ht="12" thickBot="1" x14ac:dyDescent="0.25">
      <c r="B35" s="253" t="s">
        <v>847</v>
      </c>
      <c r="D35" s="254">
        <f>E33</f>
        <v>2341651.79</v>
      </c>
      <c r="E35" s="249"/>
    </row>
    <row r="36" spans="2:8" ht="12" thickTop="1" x14ac:dyDescent="0.2">
      <c r="B36" t="s">
        <v>815</v>
      </c>
      <c r="D36" s="20">
        <f>D33</f>
        <v>32405792.82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A8" sqref="A8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Milford School District SAU#40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702524.74</v>
      </c>
      <c r="D8" s="95">
        <f>'DOE25'!G9</f>
        <v>375.15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491413.63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35675.56</v>
      </c>
      <c r="E11" s="95">
        <f>'DOE25'!H12</f>
        <v>18733.59</v>
      </c>
      <c r="F11" s="95">
        <f>'DOE25'!I12</f>
        <v>344615.35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79762.2</v>
      </c>
      <c r="D12" s="95">
        <f>'DOE25'!G13</f>
        <v>34879</v>
      </c>
      <c r="E12" s="95">
        <f>'DOE25'!H13</f>
        <v>352189.48</v>
      </c>
      <c r="F12" s="95">
        <f>'DOE25'!I13</f>
        <v>0</v>
      </c>
      <c r="G12" s="95">
        <f>'DOE25'!J13</f>
        <v>3002065.15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8890.76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278179.52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1560770.85</v>
      </c>
      <c r="D18" s="41">
        <f>SUM(D8:D17)</f>
        <v>70929.709999999992</v>
      </c>
      <c r="E18" s="41">
        <f>SUM(E8:E17)</f>
        <v>370923.07</v>
      </c>
      <c r="F18" s="41">
        <f>SUM(F8:F17)</f>
        <v>344615.35</v>
      </c>
      <c r="G18" s="41">
        <f>SUM(G8:G17)</f>
        <v>3002065.15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107665.57</v>
      </c>
      <c r="D21" s="95">
        <f>'DOE25'!G22</f>
        <v>0</v>
      </c>
      <c r="E21" s="95">
        <f>'DOE25'!H22</f>
        <v>291358.93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3323.05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170269.54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281258.16000000003</v>
      </c>
      <c r="D31" s="41">
        <f>SUM(D21:D30)</f>
        <v>0</v>
      </c>
      <c r="E31" s="41">
        <f>SUM(E21:E30)</f>
        <v>291358.93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278179.52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2747062.5799999996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164940.82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76482.600000000006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90061.75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0</v>
      </c>
      <c r="D47" s="95">
        <f>'DOE25'!G48</f>
        <v>70929.710000000006</v>
      </c>
      <c r="E47" s="95">
        <f>'DOE25'!H48</f>
        <v>79564.14</v>
      </c>
      <c r="F47" s="95">
        <f>'DOE25'!I48</f>
        <v>268132.75</v>
      </c>
      <c r="G47" s="95">
        <f>'DOE25'!J48</f>
        <v>0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373614.04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627719.13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1279512.69</v>
      </c>
      <c r="D50" s="41">
        <f>SUM(D34:D49)</f>
        <v>70929.710000000006</v>
      </c>
      <c r="E50" s="41">
        <f>SUM(E34:E49)</f>
        <v>79564.14</v>
      </c>
      <c r="F50" s="41">
        <f>SUM(F34:F49)</f>
        <v>344615.35</v>
      </c>
      <c r="G50" s="41">
        <f>SUM(G34:G49)</f>
        <v>3002065.1499999994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1560770.85</v>
      </c>
      <c r="D51" s="41">
        <f>D50+D31</f>
        <v>70929.710000000006</v>
      </c>
      <c r="E51" s="41">
        <f>E50+E31</f>
        <v>370923.07</v>
      </c>
      <c r="F51" s="41">
        <f>F50+F31</f>
        <v>344615.35</v>
      </c>
      <c r="G51" s="41">
        <f>G50+G31</f>
        <v>3002065.1499999994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21506366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1205855.9099999999</v>
      </c>
      <c r="D57" s="24" t="s">
        <v>289</v>
      </c>
      <c r="E57" s="95">
        <f>'DOE25'!H79</f>
        <v>72830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870.27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77009.19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447895.63999999996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35891.43</v>
      </c>
      <c r="D61" s="95">
        <f>SUM('DOE25'!G98:G110)</f>
        <v>0</v>
      </c>
      <c r="E61" s="95">
        <f>SUM('DOE25'!H98:H110)</f>
        <v>32023.65</v>
      </c>
      <c r="F61" s="95">
        <f>SUM('DOE25'!I98:I110)</f>
        <v>0</v>
      </c>
      <c r="G61" s="95">
        <f>SUM('DOE25'!J98:J110)</f>
        <v>216606.58000000002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1242617.6099999999</v>
      </c>
      <c r="D62" s="130">
        <f>SUM(D57:D61)</f>
        <v>447895.63999999996</v>
      </c>
      <c r="E62" s="130">
        <f>SUM(E57:E61)</f>
        <v>104853.65</v>
      </c>
      <c r="F62" s="130">
        <f>SUM(F57:F61)</f>
        <v>0</v>
      </c>
      <c r="G62" s="130">
        <f>SUM(G57:G61)</f>
        <v>293615.77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22748983.609999999</v>
      </c>
      <c r="D63" s="22">
        <f>D56+D62</f>
        <v>447895.63999999996</v>
      </c>
      <c r="E63" s="22">
        <f>E56+E62</f>
        <v>104853.65</v>
      </c>
      <c r="F63" s="22">
        <f>F56+F62</f>
        <v>0</v>
      </c>
      <c r="G63" s="22">
        <f>G56+G62</f>
        <v>293615.77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8183352.8600000003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3211831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241.28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11395425.139999999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240864.94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63925.68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68411.100000000006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10150.66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373201.72</v>
      </c>
      <c r="D78" s="130">
        <f>SUM(D72:D77)</f>
        <v>10150.66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11768626.859999999</v>
      </c>
      <c r="D81" s="130">
        <f>SUM(D79:D80)+D78+D70</f>
        <v>10150.66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261998.73</v>
      </c>
      <c r="D88" s="95">
        <f>SUM('DOE25'!G153:G161)</f>
        <v>311203.24</v>
      </c>
      <c r="E88" s="95">
        <f>SUM('DOE25'!H153:H161)</f>
        <v>1268860.7000000002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261998.73</v>
      </c>
      <c r="D91" s="131">
        <f>SUM(D85:D90)</f>
        <v>311203.24</v>
      </c>
      <c r="E91" s="131">
        <f>SUM(E85:E90)</f>
        <v>1268860.7000000002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1604565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69000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69000</v>
      </c>
      <c r="D103" s="86">
        <f>SUM(D93:D102)</f>
        <v>0</v>
      </c>
      <c r="E103" s="86">
        <f>SUM(E93:E102)</f>
        <v>0</v>
      </c>
      <c r="F103" s="86">
        <f>SUM(F93:F102)</f>
        <v>1604565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34848609.199999996</v>
      </c>
      <c r="D104" s="86">
        <f>D63+D81+D91+D103</f>
        <v>769249.53999999992</v>
      </c>
      <c r="E104" s="86">
        <f>E63+E81+E91+E103</f>
        <v>1373714.35</v>
      </c>
      <c r="F104" s="86">
        <f>F63+F81+F91+F103</f>
        <v>1604565</v>
      </c>
      <c r="G104" s="86">
        <f>G63+G81+G103</f>
        <v>293615.77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15033577.380000001</v>
      </c>
      <c r="D109" s="24" t="s">
        <v>289</v>
      </c>
      <c r="E109" s="95">
        <f>('DOE25'!L276)+('DOE25'!L295)+('DOE25'!L314)</f>
        <v>146853.38999999998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5162875.959999999</v>
      </c>
      <c r="D110" s="24" t="s">
        <v>289</v>
      </c>
      <c r="E110" s="95">
        <f>('DOE25'!L277)+('DOE25'!L296)+('DOE25'!L315)</f>
        <v>554899.38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1164898.4000000001</v>
      </c>
      <c r="D111" s="24" t="s">
        <v>289</v>
      </c>
      <c r="E111" s="95">
        <f>('DOE25'!L278)+('DOE25'!L297)+('DOE25'!L316)</f>
        <v>102522.34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340983.45</v>
      </c>
      <c r="D112" s="24" t="s">
        <v>289</v>
      </c>
      <c r="E112" s="95">
        <f>+('DOE25'!L279)+('DOE25'!L298)+('DOE25'!L317)</f>
        <v>39660.97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3351.31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21702335.189999998</v>
      </c>
      <c r="D115" s="86">
        <f>SUM(D109:D114)</f>
        <v>0</v>
      </c>
      <c r="E115" s="86">
        <f>SUM(E109:E114)</f>
        <v>847287.39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2764959.76</v>
      </c>
      <c r="D118" s="24" t="s">
        <v>289</v>
      </c>
      <c r="E118" s="95">
        <f>+('DOE25'!L281)+('DOE25'!L300)+('DOE25'!L319)</f>
        <v>370469.42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494748.55000000005</v>
      </c>
      <c r="D119" s="24" t="s">
        <v>289</v>
      </c>
      <c r="E119" s="95">
        <f>+('DOE25'!L282)+('DOE25'!L301)+('DOE25'!L320)</f>
        <v>56490.34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2044276.66</v>
      </c>
      <c r="D120" s="24" t="s">
        <v>289</v>
      </c>
      <c r="E120" s="95">
        <f>+('DOE25'!L283)+('DOE25'!L302)+('DOE25'!L321)</f>
        <v>88397.18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1923630.7999999998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2637369.11</v>
      </c>
      <c r="D123" s="24" t="s">
        <v>289</v>
      </c>
      <c r="E123" s="95">
        <f>+('DOE25'!L286)+('DOE25'!L305)+('DOE25'!L324)</f>
        <v>160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986009.65</v>
      </c>
      <c r="D124" s="24" t="s">
        <v>289</v>
      </c>
      <c r="E124" s="95">
        <f>+('DOE25'!L287)+('DOE25'!L306)+('DOE25'!L325)</f>
        <v>10865.49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687092.17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797298.52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11538086.699999999</v>
      </c>
      <c r="D128" s="86">
        <f>SUM(D118:D127)</f>
        <v>797298.52</v>
      </c>
      <c r="E128" s="86">
        <f>SUM(E118:E127)</f>
        <v>526382.43000000005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1259949.6499999999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866243.35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414156.75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35000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25950.9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267664.87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-293615.77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1280400.1000000001</v>
      </c>
      <c r="D144" s="141">
        <f>SUM(D130:D143)</f>
        <v>0</v>
      </c>
      <c r="E144" s="141">
        <f>SUM(E130:E143)</f>
        <v>0</v>
      </c>
      <c r="F144" s="141">
        <f>SUM(F130:F143)</f>
        <v>1259949.6499999999</v>
      </c>
      <c r="G144" s="141">
        <f>SUM(G130:G143)</f>
        <v>35000</v>
      </c>
    </row>
    <row r="145" spans="1:9" ht="12.75" thickTop="1" thickBot="1" x14ac:dyDescent="0.25">
      <c r="A145" s="33" t="s">
        <v>244</v>
      </c>
      <c r="C145" s="86">
        <f>(C115+C128+C144)</f>
        <v>34520821.989999995</v>
      </c>
      <c r="D145" s="86">
        <f>(D115+D128+D144)</f>
        <v>797298.52</v>
      </c>
      <c r="E145" s="86">
        <f>(E115+E128+E144)</f>
        <v>1373669.82</v>
      </c>
      <c r="F145" s="86">
        <f>(F115+F128+F144)</f>
        <v>1259949.6499999999</v>
      </c>
      <c r="G145" s="86">
        <f>(G115+G128+G144)</f>
        <v>35000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5</v>
      </c>
      <c r="C151" s="153">
        <f>'DOE25'!G490</f>
        <v>20</v>
      </c>
      <c r="D151" s="153">
        <f>'DOE25'!H490</f>
        <v>10</v>
      </c>
      <c r="E151" s="153">
        <f>'DOE25'!I490</f>
        <v>20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07/10</v>
      </c>
      <c r="C152" s="152" t="str">
        <f>'DOE25'!G491</f>
        <v>01/00</v>
      </c>
      <c r="D152" s="152" t="str">
        <f>'DOE25'!H491</f>
        <v>07/13</v>
      </c>
      <c r="E152" s="152" t="str">
        <f>'DOE25'!I491</f>
        <v>01/08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07/15</v>
      </c>
      <c r="C153" s="152" t="str">
        <f>'DOE25'!G492</f>
        <v>01/20</v>
      </c>
      <c r="D153" s="152" t="str">
        <f>'DOE25'!H492</f>
        <v>08/23</v>
      </c>
      <c r="E153" s="152" t="str">
        <f>'DOE25'!I492</f>
        <v>01/28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438009</v>
      </c>
      <c r="C154" s="137">
        <f>'DOE25'!G493</f>
        <v>10895000</v>
      </c>
      <c r="D154" s="137">
        <f>'DOE25'!H493</f>
        <v>1404300</v>
      </c>
      <c r="E154" s="137">
        <f>'DOE25'!I493</f>
        <v>4393500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2.56</v>
      </c>
      <c r="C155" s="137">
        <f>'DOE25'!G494</f>
        <v>5.58</v>
      </c>
      <c r="D155" s="137">
        <f>'DOE25'!H494</f>
        <v>5.0999999999999996</v>
      </c>
      <c r="E155" s="137">
        <f>'DOE25'!I494</f>
        <v>4.43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256329.11</v>
      </c>
      <c r="C156" s="137">
        <f>'DOE25'!G495</f>
        <v>3810000</v>
      </c>
      <c r="D156" s="137">
        <f>'DOE25'!H495</f>
        <v>1404300</v>
      </c>
      <c r="E156" s="137">
        <f>'DOE25'!I495</f>
        <v>3295000</v>
      </c>
      <c r="F156" s="137">
        <f>'DOE25'!J495</f>
        <v>0</v>
      </c>
      <c r="G156" s="138">
        <f>SUM(B156:F156)</f>
        <v>8765629.1099999994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94354.95</v>
      </c>
      <c r="C158" s="137">
        <f>'DOE25'!G497</f>
        <v>545000</v>
      </c>
      <c r="D158" s="137">
        <f>'DOE25'!H497</f>
        <v>0</v>
      </c>
      <c r="E158" s="137">
        <f>'DOE25'!I497</f>
        <v>220000</v>
      </c>
      <c r="F158" s="137">
        <f>'DOE25'!J497</f>
        <v>0</v>
      </c>
      <c r="G158" s="138">
        <f t="shared" si="0"/>
        <v>859354.95</v>
      </c>
    </row>
    <row r="159" spans="1:9" x14ac:dyDescent="0.2">
      <c r="A159" s="22" t="s">
        <v>35</v>
      </c>
      <c r="B159" s="137">
        <f>'DOE25'!F498</f>
        <v>161974.15999999997</v>
      </c>
      <c r="C159" s="137">
        <f>'DOE25'!G498</f>
        <v>3265000</v>
      </c>
      <c r="D159" s="137">
        <f>'DOE25'!H498</f>
        <v>1404300</v>
      </c>
      <c r="E159" s="137">
        <f>'DOE25'!I498</f>
        <v>3075000</v>
      </c>
      <c r="F159" s="137">
        <f>'DOE25'!J498</f>
        <v>0</v>
      </c>
      <c r="G159" s="138">
        <f t="shared" si="0"/>
        <v>7906274.1600000001</v>
      </c>
    </row>
    <row r="160" spans="1:9" x14ac:dyDescent="0.2">
      <c r="A160" s="22" t="s">
        <v>36</v>
      </c>
      <c r="B160" s="137">
        <f>'DOE25'!F499</f>
        <v>5815.76</v>
      </c>
      <c r="C160" s="137">
        <f>'DOE25'!G499</f>
        <v>649413.74</v>
      </c>
      <c r="D160" s="137">
        <f>'DOE25'!H499</f>
        <v>375659.65</v>
      </c>
      <c r="E160" s="137">
        <f>'DOE25'!I499</f>
        <v>995738</v>
      </c>
      <c r="F160" s="137">
        <f>'DOE25'!J499</f>
        <v>0</v>
      </c>
      <c r="G160" s="138">
        <f t="shared" si="0"/>
        <v>2026627.15</v>
      </c>
    </row>
    <row r="161" spans="1:7" x14ac:dyDescent="0.2">
      <c r="A161" s="22" t="s">
        <v>37</v>
      </c>
      <c r="B161" s="137">
        <f>'DOE25'!F500</f>
        <v>167789.91999999998</v>
      </c>
      <c r="C161" s="137">
        <f>'DOE25'!G500</f>
        <v>3914413.74</v>
      </c>
      <c r="D161" s="137">
        <f>'DOE25'!H500</f>
        <v>1779959.65</v>
      </c>
      <c r="E161" s="137">
        <f>'DOE25'!I500</f>
        <v>4070738</v>
      </c>
      <c r="F161" s="137">
        <f>'DOE25'!J500</f>
        <v>0</v>
      </c>
      <c r="G161" s="138">
        <f t="shared" si="0"/>
        <v>9932901.3100000005</v>
      </c>
    </row>
    <row r="162" spans="1:7" x14ac:dyDescent="0.2">
      <c r="A162" s="22" t="s">
        <v>38</v>
      </c>
      <c r="B162" s="137">
        <f>'DOE25'!F501</f>
        <v>96770.44</v>
      </c>
      <c r="C162" s="137">
        <f>'DOE25'!G501</f>
        <v>545000</v>
      </c>
      <c r="D162" s="137">
        <f>'DOE25'!H501</f>
        <v>144300</v>
      </c>
      <c r="E162" s="137">
        <f>'DOE25'!I501</f>
        <v>220000</v>
      </c>
      <c r="F162" s="137">
        <f>'DOE25'!J501</f>
        <v>0</v>
      </c>
      <c r="G162" s="138">
        <f t="shared" si="0"/>
        <v>1006070.44</v>
      </c>
    </row>
    <row r="163" spans="1:7" x14ac:dyDescent="0.2">
      <c r="A163" s="22" t="s">
        <v>39</v>
      </c>
      <c r="B163" s="137">
        <f>'DOE25'!F502</f>
        <v>4146.54</v>
      </c>
      <c r="C163" s="137">
        <f>'DOE25'!G502</f>
        <v>184876.26</v>
      </c>
      <c r="D163" s="137">
        <f>'DOE25'!H502</f>
        <v>71439.649999999994</v>
      </c>
      <c r="E163" s="137">
        <f>'DOE25'!I502</f>
        <v>137556.26</v>
      </c>
      <c r="F163" s="137">
        <f>'DOE25'!J502</f>
        <v>0</v>
      </c>
      <c r="G163" s="138">
        <f t="shared" si="0"/>
        <v>398018.71</v>
      </c>
    </row>
    <row r="164" spans="1:7" x14ac:dyDescent="0.2">
      <c r="A164" s="22" t="s">
        <v>246</v>
      </c>
      <c r="B164" s="137">
        <f>'DOE25'!F503</f>
        <v>100916.98</v>
      </c>
      <c r="C164" s="137">
        <f>'DOE25'!G503</f>
        <v>729876.26</v>
      </c>
      <c r="D164" s="137">
        <f>'DOE25'!H503</f>
        <v>215739.65</v>
      </c>
      <c r="E164" s="137">
        <f>'DOE25'!I503</f>
        <v>357556.26</v>
      </c>
      <c r="F164" s="137">
        <f>'DOE25'!J503</f>
        <v>0</v>
      </c>
      <c r="G164" s="138">
        <f t="shared" si="0"/>
        <v>1404089.15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Milford School District SAU#40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13031</v>
      </c>
    </row>
    <row r="5" spans="1:4" x14ac:dyDescent="0.2">
      <c r="B5" t="s">
        <v>704</v>
      </c>
      <c r="C5" s="179">
        <f>IF('DOE25'!G665+'DOE25'!G670=0,0,ROUND('DOE25'!G672,0))</f>
        <v>12175</v>
      </c>
    </row>
    <row r="6" spans="1:4" x14ac:dyDescent="0.2">
      <c r="B6" t="s">
        <v>62</v>
      </c>
      <c r="C6" s="179">
        <f>IF('DOE25'!H665+'DOE25'!H670=0,0,ROUND('DOE25'!H672,0))</f>
        <v>14462</v>
      </c>
    </row>
    <row r="7" spans="1:4" x14ac:dyDescent="0.2">
      <c r="B7" t="s">
        <v>705</v>
      </c>
      <c r="C7" s="179">
        <f>IF('DOE25'!I665+'DOE25'!I670=0,0,ROUND('DOE25'!I672,0))</f>
        <v>13273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15180431</v>
      </c>
      <c r="D10" s="182">
        <f>ROUND((C10/$C$28)*100,1)</f>
        <v>42.9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5717775</v>
      </c>
      <c r="D11" s="182">
        <f>ROUND((C11/$C$28)*100,1)</f>
        <v>16.2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1267421</v>
      </c>
      <c r="D12" s="182">
        <f>ROUND((C12/$C$28)*100,1)</f>
        <v>3.6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380644</v>
      </c>
      <c r="D13" s="182">
        <f>ROUND((C13/$C$28)*100,1)</f>
        <v>1.1000000000000001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3135429</v>
      </c>
      <c r="D15" s="182">
        <f t="shared" ref="D15:D27" si="0">ROUND((C15/$C$28)*100,1)</f>
        <v>8.9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551239</v>
      </c>
      <c r="D16" s="182">
        <f t="shared" si="0"/>
        <v>1.6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2819766</v>
      </c>
      <c r="D17" s="182">
        <f t="shared" si="0"/>
        <v>8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1923631</v>
      </c>
      <c r="D18" s="182">
        <f t="shared" si="0"/>
        <v>5.4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2637529</v>
      </c>
      <c r="D20" s="182">
        <f t="shared" si="0"/>
        <v>7.5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996875</v>
      </c>
      <c r="D21" s="182">
        <f t="shared" si="0"/>
        <v>2.8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3351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414157</v>
      </c>
      <c r="D25" s="182">
        <f t="shared" si="0"/>
        <v>1.2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349403.36000000004</v>
      </c>
      <c r="D27" s="182">
        <f t="shared" si="0"/>
        <v>1</v>
      </c>
    </row>
    <row r="28" spans="1:4" x14ac:dyDescent="0.2">
      <c r="B28" s="187" t="s">
        <v>723</v>
      </c>
      <c r="C28" s="180">
        <f>SUM(C10:C27)</f>
        <v>35377651.359999999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1259950</v>
      </c>
    </row>
    <row r="30" spans="1:4" x14ac:dyDescent="0.2">
      <c r="B30" s="187" t="s">
        <v>729</v>
      </c>
      <c r="C30" s="180">
        <f>SUM(C28:C29)</f>
        <v>36637601.359999999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866243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21506366</v>
      </c>
      <c r="D35" s="182">
        <f t="shared" ref="D35:D40" si="1">ROUND((C35/$C$41)*100,1)</f>
        <v>58.5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1641087.0299999975</v>
      </c>
      <c r="D36" s="182">
        <f t="shared" si="1"/>
        <v>4.5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11395184</v>
      </c>
      <c r="D37" s="182">
        <f t="shared" si="1"/>
        <v>31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383594</v>
      </c>
      <c r="D38" s="182">
        <f t="shared" si="1"/>
        <v>1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1842063</v>
      </c>
      <c r="D39" s="182">
        <f t="shared" si="1"/>
        <v>5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36768294.030000001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1604565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C18" sqref="C18:M18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3" t="s">
        <v>770</v>
      </c>
      <c r="B1" s="294"/>
      <c r="C1" s="294"/>
      <c r="D1" s="294"/>
      <c r="E1" s="294"/>
      <c r="F1" s="294"/>
      <c r="G1" s="294"/>
      <c r="H1" s="294"/>
      <c r="I1" s="294"/>
      <c r="J1" s="213"/>
      <c r="K1" s="213"/>
      <c r="L1" s="213"/>
      <c r="M1" s="214"/>
    </row>
    <row r="2" spans="1:26" ht="12.75" x14ac:dyDescent="0.2">
      <c r="A2" s="299" t="s">
        <v>767</v>
      </c>
      <c r="B2" s="300"/>
      <c r="C2" s="300"/>
      <c r="D2" s="300"/>
      <c r="E2" s="300"/>
      <c r="F2" s="297" t="str">
        <f>'DOE25'!A2</f>
        <v>Milford School District SAU#40</v>
      </c>
      <c r="G2" s="298"/>
      <c r="H2" s="298"/>
      <c r="I2" s="298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5" t="s">
        <v>771</v>
      </c>
      <c r="D3" s="295"/>
      <c r="E3" s="295"/>
      <c r="F3" s="295"/>
      <c r="G3" s="295"/>
      <c r="H3" s="295"/>
      <c r="I3" s="295"/>
      <c r="J3" s="295"/>
      <c r="K3" s="295"/>
      <c r="L3" s="295"/>
      <c r="M3" s="296"/>
    </row>
    <row r="4" spans="1:26" x14ac:dyDescent="0.2">
      <c r="A4" s="218"/>
      <c r="B4" s="219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5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 t="s">
        <v>928</v>
      </c>
      <c r="B5" s="219" t="s">
        <v>924</v>
      </c>
      <c r="C5" s="284" t="s">
        <v>925</v>
      </c>
      <c r="D5" s="284"/>
      <c r="E5" s="284"/>
      <c r="F5" s="284"/>
      <c r="G5" s="284"/>
      <c r="H5" s="284"/>
      <c r="I5" s="284"/>
      <c r="J5" s="284"/>
      <c r="K5" s="284"/>
      <c r="L5" s="284"/>
      <c r="M5" s="285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4" t="s">
        <v>933</v>
      </c>
      <c r="D6" s="284"/>
      <c r="E6" s="284"/>
      <c r="F6" s="284"/>
      <c r="G6" s="284"/>
      <c r="H6" s="284"/>
      <c r="I6" s="284"/>
      <c r="J6" s="284"/>
      <c r="K6" s="284"/>
      <c r="L6" s="284"/>
      <c r="M6" s="285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4" t="s">
        <v>929</v>
      </c>
      <c r="D7" s="284"/>
      <c r="E7" s="284"/>
      <c r="F7" s="284"/>
      <c r="G7" s="284"/>
      <c r="H7" s="284"/>
      <c r="I7" s="284"/>
      <c r="J7" s="284"/>
      <c r="K7" s="284"/>
      <c r="L7" s="284"/>
      <c r="M7" s="285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5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4" t="s">
        <v>930</v>
      </c>
      <c r="D9" s="284"/>
      <c r="E9" s="284"/>
      <c r="F9" s="284"/>
      <c r="G9" s="284"/>
      <c r="H9" s="284"/>
      <c r="I9" s="284"/>
      <c r="J9" s="284"/>
      <c r="K9" s="284"/>
      <c r="L9" s="284"/>
      <c r="M9" s="285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5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4" t="s">
        <v>931</v>
      </c>
      <c r="D11" s="284"/>
      <c r="E11" s="284"/>
      <c r="F11" s="284"/>
      <c r="G11" s="284"/>
      <c r="H11" s="284"/>
      <c r="I11" s="284"/>
      <c r="J11" s="284"/>
      <c r="K11" s="284"/>
      <c r="L11" s="284"/>
      <c r="M11" s="285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4" t="s">
        <v>932</v>
      </c>
      <c r="D12" s="284"/>
      <c r="E12" s="284"/>
      <c r="F12" s="284"/>
      <c r="G12" s="284"/>
      <c r="H12" s="284"/>
      <c r="I12" s="284"/>
      <c r="J12" s="284"/>
      <c r="K12" s="284"/>
      <c r="L12" s="284"/>
      <c r="M12" s="285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5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4" t="s">
        <v>926</v>
      </c>
      <c r="D14" s="284"/>
      <c r="E14" s="284"/>
      <c r="F14" s="284"/>
      <c r="G14" s="284"/>
      <c r="H14" s="284"/>
      <c r="I14" s="284"/>
      <c r="J14" s="284"/>
      <c r="K14" s="284"/>
      <c r="L14" s="284"/>
      <c r="M14" s="285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4" t="s">
        <v>927</v>
      </c>
      <c r="D15" s="284"/>
      <c r="E15" s="284"/>
      <c r="F15" s="284"/>
      <c r="G15" s="284"/>
      <c r="H15" s="284"/>
      <c r="I15" s="284"/>
      <c r="J15" s="284"/>
      <c r="K15" s="284"/>
      <c r="L15" s="284"/>
      <c r="M15" s="285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5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4" t="s">
        <v>935</v>
      </c>
      <c r="D17" s="284"/>
      <c r="E17" s="284"/>
      <c r="F17" s="284"/>
      <c r="G17" s="284"/>
      <c r="H17" s="284"/>
      <c r="I17" s="284"/>
      <c r="J17" s="284"/>
      <c r="K17" s="284"/>
      <c r="L17" s="284"/>
      <c r="M17" s="285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4" t="s">
        <v>934</v>
      </c>
      <c r="D18" s="284"/>
      <c r="E18" s="284"/>
      <c r="F18" s="284"/>
      <c r="G18" s="284"/>
      <c r="H18" s="284"/>
      <c r="I18" s="284"/>
      <c r="J18" s="284"/>
      <c r="K18" s="284"/>
      <c r="L18" s="284"/>
      <c r="M18" s="285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5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5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5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5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5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5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5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5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5"/>
      <c r="N29" s="211"/>
      <c r="O29" s="211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07"/>
      <c r="AB29" s="207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07"/>
      <c r="AO29" s="207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07"/>
      <c r="BB29" s="207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07"/>
      <c r="BO29" s="207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07"/>
      <c r="CB29" s="207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07"/>
      <c r="CO29" s="207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07"/>
      <c r="DB29" s="207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07"/>
      <c r="DO29" s="207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07"/>
      <c r="EB29" s="207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  <c r="EN29" s="207"/>
      <c r="EO29" s="207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07"/>
      <c r="FB29" s="207"/>
      <c r="FC29" s="289"/>
      <c r="FD29" s="289"/>
      <c r="FE29" s="289"/>
      <c r="FF29" s="289"/>
      <c r="FG29" s="289"/>
      <c r="FH29" s="289"/>
      <c r="FI29" s="289"/>
      <c r="FJ29" s="289"/>
      <c r="FK29" s="289"/>
      <c r="FL29" s="289"/>
      <c r="FM29" s="289"/>
      <c r="FN29" s="207"/>
      <c r="FO29" s="207"/>
      <c r="FP29" s="289"/>
      <c r="FQ29" s="289"/>
      <c r="FR29" s="289"/>
      <c r="FS29" s="289"/>
      <c r="FT29" s="289"/>
      <c r="FU29" s="289"/>
      <c r="FV29" s="289"/>
      <c r="FW29" s="289"/>
      <c r="FX29" s="289"/>
      <c r="FY29" s="289"/>
      <c r="FZ29" s="289"/>
      <c r="GA29" s="207"/>
      <c r="GB29" s="207"/>
      <c r="GC29" s="289"/>
      <c r="GD29" s="289"/>
      <c r="GE29" s="289"/>
      <c r="GF29" s="289"/>
      <c r="GG29" s="289"/>
      <c r="GH29" s="289"/>
      <c r="GI29" s="289"/>
      <c r="GJ29" s="289"/>
      <c r="GK29" s="289"/>
      <c r="GL29" s="289"/>
      <c r="GM29" s="289"/>
      <c r="GN29" s="207"/>
      <c r="GO29" s="207"/>
      <c r="GP29" s="289"/>
      <c r="GQ29" s="289"/>
      <c r="GR29" s="289"/>
      <c r="GS29" s="289"/>
      <c r="GT29" s="289"/>
      <c r="GU29" s="289"/>
      <c r="GV29" s="289"/>
      <c r="GW29" s="289"/>
      <c r="GX29" s="289"/>
      <c r="GY29" s="289"/>
      <c r="GZ29" s="289"/>
      <c r="HA29" s="207"/>
      <c r="HB29" s="207"/>
      <c r="HC29" s="289"/>
      <c r="HD29" s="289"/>
      <c r="HE29" s="289"/>
      <c r="HF29" s="289"/>
      <c r="HG29" s="289"/>
      <c r="HH29" s="289"/>
      <c r="HI29" s="289"/>
      <c r="HJ29" s="289"/>
      <c r="HK29" s="289"/>
      <c r="HL29" s="289"/>
      <c r="HM29" s="289"/>
      <c r="HN29" s="207"/>
      <c r="HO29" s="207"/>
      <c r="HP29" s="289"/>
      <c r="HQ29" s="289"/>
      <c r="HR29" s="289"/>
      <c r="HS29" s="289"/>
      <c r="HT29" s="289"/>
      <c r="HU29" s="289"/>
      <c r="HV29" s="289"/>
      <c r="HW29" s="289"/>
      <c r="HX29" s="289"/>
      <c r="HY29" s="289"/>
      <c r="HZ29" s="289"/>
      <c r="IA29" s="207"/>
      <c r="IB29" s="207"/>
      <c r="IC29" s="289"/>
      <c r="ID29" s="289"/>
      <c r="IE29" s="289"/>
      <c r="IF29" s="289"/>
      <c r="IG29" s="289"/>
      <c r="IH29" s="289"/>
      <c r="II29" s="289"/>
      <c r="IJ29" s="289"/>
      <c r="IK29" s="289"/>
      <c r="IL29" s="289"/>
      <c r="IM29" s="289"/>
      <c r="IN29" s="207"/>
      <c r="IO29" s="207"/>
      <c r="IP29" s="289"/>
      <c r="IQ29" s="289"/>
      <c r="IR29" s="289"/>
      <c r="IS29" s="289"/>
      <c r="IT29" s="289"/>
      <c r="IU29" s="289"/>
      <c r="IV29" s="289"/>
    </row>
    <row r="30" spans="1:256" x14ac:dyDescent="0.2">
      <c r="A30" s="218"/>
      <c r="B30" s="219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5"/>
      <c r="N30" s="211"/>
      <c r="O30" s="211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07"/>
      <c r="AB30" s="207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07"/>
      <c r="AO30" s="207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07"/>
      <c r="BB30" s="207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07"/>
      <c r="BO30" s="207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07"/>
      <c r="CB30" s="207"/>
      <c r="CC30" s="289"/>
      <c r="CD30" s="289"/>
      <c r="CE30" s="289"/>
      <c r="CF30" s="289"/>
      <c r="CG30" s="289"/>
      <c r="CH30" s="289"/>
      <c r="CI30" s="289"/>
      <c r="CJ30" s="289"/>
      <c r="CK30" s="289"/>
      <c r="CL30" s="289"/>
      <c r="CM30" s="289"/>
      <c r="CN30" s="207"/>
      <c r="CO30" s="207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07"/>
      <c r="DB30" s="207"/>
      <c r="DC30" s="289"/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07"/>
      <c r="DO30" s="207"/>
      <c r="DP30" s="289"/>
      <c r="DQ30" s="289"/>
      <c r="DR30" s="289"/>
      <c r="DS30" s="289"/>
      <c r="DT30" s="289"/>
      <c r="DU30" s="289"/>
      <c r="DV30" s="289"/>
      <c r="DW30" s="289"/>
      <c r="DX30" s="289"/>
      <c r="DY30" s="289"/>
      <c r="DZ30" s="289"/>
      <c r="EA30" s="207"/>
      <c r="EB30" s="207"/>
      <c r="EC30" s="289"/>
      <c r="ED30" s="289"/>
      <c r="EE30" s="289"/>
      <c r="EF30" s="289"/>
      <c r="EG30" s="289"/>
      <c r="EH30" s="289"/>
      <c r="EI30" s="289"/>
      <c r="EJ30" s="289"/>
      <c r="EK30" s="289"/>
      <c r="EL30" s="289"/>
      <c r="EM30" s="289"/>
      <c r="EN30" s="207"/>
      <c r="EO30" s="207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07"/>
      <c r="FB30" s="207"/>
      <c r="FC30" s="289"/>
      <c r="FD30" s="289"/>
      <c r="FE30" s="289"/>
      <c r="FF30" s="289"/>
      <c r="FG30" s="289"/>
      <c r="FH30" s="289"/>
      <c r="FI30" s="289"/>
      <c r="FJ30" s="289"/>
      <c r="FK30" s="289"/>
      <c r="FL30" s="289"/>
      <c r="FM30" s="289"/>
      <c r="FN30" s="207"/>
      <c r="FO30" s="207"/>
      <c r="FP30" s="289"/>
      <c r="FQ30" s="289"/>
      <c r="FR30" s="289"/>
      <c r="FS30" s="289"/>
      <c r="FT30" s="289"/>
      <c r="FU30" s="289"/>
      <c r="FV30" s="289"/>
      <c r="FW30" s="289"/>
      <c r="FX30" s="289"/>
      <c r="FY30" s="289"/>
      <c r="FZ30" s="289"/>
      <c r="GA30" s="207"/>
      <c r="GB30" s="207"/>
      <c r="GC30" s="289"/>
      <c r="GD30" s="289"/>
      <c r="GE30" s="289"/>
      <c r="GF30" s="289"/>
      <c r="GG30" s="289"/>
      <c r="GH30" s="289"/>
      <c r="GI30" s="289"/>
      <c r="GJ30" s="289"/>
      <c r="GK30" s="289"/>
      <c r="GL30" s="289"/>
      <c r="GM30" s="289"/>
      <c r="GN30" s="207"/>
      <c r="GO30" s="207"/>
      <c r="GP30" s="289"/>
      <c r="GQ30" s="289"/>
      <c r="GR30" s="289"/>
      <c r="GS30" s="289"/>
      <c r="GT30" s="289"/>
      <c r="GU30" s="289"/>
      <c r="GV30" s="289"/>
      <c r="GW30" s="289"/>
      <c r="GX30" s="289"/>
      <c r="GY30" s="289"/>
      <c r="GZ30" s="289"/>
      <c r="HA30" s="207"/>
      <c r="HB30" s="207"/>
      <c r="HC30" s="289"/>
      <c r="HD30" s="289"/>
      <c r="HE30" s="289"/>
      <c r="HF30" s="289"/>
      <c r="HG30" s="289"/>
      <c r="HH30" s="289"/>
      <c r="HI30" s="289"/>
      <c r="HJ30" s="289"/>
      <c r="HK30" s="289"/>
      <c r="HL30" s="289"/>
      <c r="HM30" s="289"/>
      <c r="HN30" s="207"/>
      <c r="HO30" s="207"/>
      <c r="HP30" s="289"/>
      <c r="HQ30" s="289"/>
      <c r="HR30" s="289"/>
      <c r="HS30" s="289"/>
      <c r="HT30" s="289"/>
      <c r="HU30" s="289"/>
      <c r="HV30" s="289"/>
      <c r="HW30" s="289"/>
      <c r="HX30" s="289"/>
      <c r="HY30" s="289"/>
      <c r="HZ30" s="289"/>
      <c r="IA30" s="207"/>
      <c r="IB30" s="207"/>
      <c r="IC30" s="289"/>
      <c r="ID30" s="289"/>
      <c r="IE30" s="289"/>
      <c r="IF30" s="289"/>
      <c r="IG30" s="289"/>
      <c r="IH30" s="289"/>
      <c r="II30" s="289"/>
      <c r="IJ30" s="289"/>
      <c r="IK30" s="289"/>
      <c r="IL30" s="289"/>
      <c r="IM30" s="289"/>
      <c r="IN30" s="207"/>
      <c r="IO30" s="207"/>
      <c r="IP30" s="289"/>
      <c r="IQ30" s="289"/>
      <c r="IR30" s="289"/>
      <c r="IS30" s="289"/>
      <c r="IT30" s="289"/>
      <c r="IU30" s="289"/>
      <c r="IV30" s="289"/>
    </row>
    <row r="31" spans="1:256" x14ac:dyDescent="0.2">
      <c r="A31" s="218"/>
      <c r="B31" s="219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5"/>
      <c r="N31" s="211"/>
      <c r="O31" s="211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07"/>
      <c r="AB31" s="207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07"/>
      <c r="AO31" s="207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07"/>
      <c r="BB31" s="207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07"/>
      <c r="BO31" s="207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07"/>
      <c r="CB31" s="207"/>
      <c r="CC31" s="289"/>
      <c r="CD31" s="289"/>
      <c r="CE31" s="289"/>
      <c r="CF31" s="289"/>
      <c r="CG31" s="289"/>
      <c r="CH31" s="289"/>
      <c r="CI31" s="289"/>
      <c r="CJ31" s="289"/>
      <c r="CK31" s="289"/>
      <c r="CL31" s="289"/>
      <c r="CM31" s="289"/>
      <c r="CN31" s="207"/>
      <c r="CO31" s="207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07"/>
      <c r="DB31" s="207"/>
      <c r="DC31" s="289"/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07"/>
      <c r="DO31" s="207"/>
      <c r="DP31" s="289"/>
      <c r="DQ31" s="289"/>
      <c r="DR31" s="289"/>
      <c r="DS31" s="289"/>
      <c r="DT31" s="289"/>
      <c r="DU31" s="289"/>
      <c r="DV31" s="289"/>
      <c r="DW31" s="289"/>
      <c r="DX31" s="289"/>
      <c r="DY31" s="289"/>
      <c r="DZ31" s="289"/>
      <c r="EA31" s="207"/>
      <c r="EB31" s="207"/>
      <c r="EC31" s="289"/>
      <c r="ED31" s="289"/>
      <c r="EE31" s="289"/>
      <c r="EF31" s="289"/>
      <c r="EG31" s="289"/>
      <c r="EH31" s="289"/>
      <c r="EI31" s="289"/>
      <c r="EJ31" s="289"/>
      <c r="EK31" s="289"/>
      <c r="EL31" s="289"/>
      <c r="EM31" s="289"/>
      <c r="EN31" s="207"/>
      <c r="EO31" s="207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07"/>
      <c r="FB31" s="207"/>
      <c r="FC31" s="289"/>
      <c r="FD31" s="289"/>
      <c r="FE31" s="289"/>
      <c r="FF31" s="289"/>
      <c r="FG31" s="289"/>
      <c r="FH31" s="289"/>
      <c r="FI31" s="289"/>
      <c r="FJ31" s="289"/>
      <c r="FK31" s="289"/>
      <c r="FL31" s="289"/>
      <c r="FM31" s="289"/>
      <c r="FN31" s="207"/>
      <c r="FO31" s="207"/>
      <c r="FP31" s="289"/>
      <c r="FQ31" s="289"/>
      <c r="FR31" s="289"/>
      <c r="FS31" s="289"/>
      <c r="FT31" s="289"/>
      <c r="FU31" s="289"/>
      <c r="FV31" s="289"/>
      <c r="FW31" s="289"/>
      <c r="FX31" s="289"/>
      <c r="FY31" s="289"/>
      <c r="FZ31" s="289"/>
      <c r="GA31" s="207"/>
      <c r="GB31" s="207"/>
      <c r="GC31" s="289"/>
      <c r="GD31" s="289"/>
      <c r="GE31" s="289"/>
      <c r="GF31" s="289"/>
      <c r="GG31" s="289"/>
      <c r="GH31" s="289"/>
      <c r="GI31" s="289"/>
      <c r="GJ31" s="289"/>
      <c r="GK31" s="289"/>
      <c r="GL31" s="289"/>
      <c r="GM31" s="289"/>
      <c r="GN31" s="207"/>
      <c r="GO31" s="207"/>
      <c r="GP31" s="289"/>
      <c r="GQ31" s="289"/>
      <c r="GR31" s="289"/>
      <c r="GS31" s="289"/>
      <c r="GT31" s="289"/>
      <c r="GU31" s="289"/>
      <c r="GV31" s="289"/>
      <c r="GW31" s="289"/>
      <c r="GX31" s="289"/>
      <c r="GY31" s="289"/>
      <c r="GZ31" s="289"/>
      <c r="HA31" s="207"/>
      <c r="HB31" s="207"/>
      <c r="HC31" s="289"/>
      <c r="HD31" s="289"/>
      <c r="HE31" s="289"/>
      <c r="HF31" s="289"/>
      <c r="HG31" s="289"/>
      <c r="HH31" s="289"/>
      <c r="HI31" s="289"/>
      <c r="HJ31" s="289"/>
      <c r="HK31" s="289"/>
      <c r="HL31" s="289"/>
      <c r="HM31" s="289"/>
      <c r="HN31" s="207"/>
      <c r="HO31" s="207"/>
      <c r="HP31" s="289"/>
      <c r="HQ31" s="289"/>
      <c r="HR31" s="289"/>
      <c r="HS31" s="289"/>
      <c r="HT31" s="289"/>
      <c r="HU31" s="289"/>
      <c r="HV31" s="289"/>
      <c r="HW31" s="289"/>
      <c r="HX31" s="289"/>
      <c r="HY31" s="289"/>
      <c r="HZ31" s="289"/>
      <c r="IA31" s="207"/>
      <c r="IB31" s="207"/>
      <c r="IC31" s="289"/>
      <c r="ID31" s="289"/>
      <c r="IE31" s="289"/>
      <c r="IF31" s="289"/>
      <c r="IG31" s="289"/>
      <c r="IH31" s="289"/>
      <c r="II31" s="289"/>
      <c r="IJ31" s="289"/>
      <c r="IK31" s="289"/>
      <c r="IL31" s="289"/>
      <c r="IM31" s="289"/>
      <c r="IN31" s="207"/>
      <c r="IO31" s="207"/>
      <c r="IP31" s="289"/>
      <c r="IQ31" s="289"/>
      <c r="IR31" s="289"/>
      <c r="IS31" s="289"/>
      <c r="IT31" s="289"/>
      <c r="IU31" s="289"/>
      <c r="IV31" s="289"/>
    </row>
    <row r="32" spans="1:256" x14ac:dyDescent="0.2">
      <c r="A32" s="218"/>
      <c r="B32" s="219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5"/>
      <c r="N32" s="223"/>
      <c r="O32" s="223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2"/>
      <c r="AA32" s="218"/>
      <c r="AB32" s="219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5"/>
      <c r="AN32" s="218"/>
      <c r="AO32" s="219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5"/>
      <c r="BA32" s="218"/>
      <c r="BB32" s="219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5"/>
      <c r="BN32" s="218"/>
      <c r="BO32" s="219"/>
      <c r="BP32" s="284"/>
      <c r="BQ32" s="284"/>
      <c r="BR32" s="284"/>
      <c r="BS32" s="284"/>
      <c r="BT32" s="284"/>
      <c r="BU32" s="284"/>
      <c r="BV32" s="284"/>
      <c r="BW32" s="284"/>
      <c r="BX32" s="284"/>
      <c r="BY32" s="284"/>
      <c r="BZ32" s="285"/>
      <c r="CA32" s="218"/>
      <c r="CB32" s="219"/>
      <c r="CC32" s="284"/>
      <c r="CD32" s="284"/>
      <c r="CE32" s="284"/>
      <c r="CF32" s="284"/>
      <c r="CG32" s="284"/>
      <c r="CH32" s="284"/>
      <c r="CI32" s="284"/>
      <c r="CJ32" s="284"/>
      <c r="CK32" s="284"/>
      <c r="CL32" s="284"/>
      <c r="CM32" s="285"/>
      <c r="CN32" s="218"/>
      <c r="CO32" s="219"/>
      <c r="CP32" s="284"/>
      <c r="CQ32" s="284"/>
      <c r="CR32" s="284"/>
      <c r="CS32" s="284"/>
      <c r="CT32" s="284"/>
      <c r="CU32" s="284"/>
      <c r="CV32" s="284"/>
      <c r="CW32" s="284"/>
      <c r="CX32" s="284"/>
      <c r="CY32" s="284"/>
      <c r="CZ32" s="285"/>
      <c r="DA32" s="218"/>
      <c r="DB32" s="219"/>
      <c r="DC32" s="284"/>
      <c r="DD32" s="284"/>
      <c r="DE32" s="284"/>
      <c r="DF32" s="284"/>
      <c r="DG32" s="284"/>
      <c r="DH32" s="284"/>
      <c r="DI32" s="284"/>
      <c r="DJ32" s="284"/>
      <c r="DK32" s="284"/>
      <c r="DL32" s="284"/>
      <c r="DM32" s="285"/>
      <c r="DN32" s="218"/>
      <c r="DO32" s="219"/>
      <c r="DP32" s="284"/>
      <c r="DQ32" s="284"/>
      <c r="DR32" s="284"/>
      <c r="DS32" s="284"/>
      <c r="DT32" s="284"/>
      <c r="DU32" s="284"/>
      <c r="DV32" s="284"/>
      <c r="DW32" s="284"/>
      <c r="DX32" s="284"/>
      <c r="DY32" s="284"/>
      <c r="DZ32" s="285"/>
      <c r="EA32" s="218"/>
      <c r="EB32" s="219"/>
      <c r="EC32" s="284"/>
      <c r="ED32" s="284"/>
      <c r="EE32" s="284"/>
      <c r="EF32" s="284"/>
      <c r="EG32" s="284"/>
      <c r="EH32" s="284"/>
      <c r="EI32" s="284"/>
      <c r="EJ32" s="284"/>
      <c r="EK32" s="284"/>
      <c r="EL32" s="284"/>
      <c r="EM32" s="285"/>
      <c r="EN32" s="218"/>
      <c r="EO32" s="219"/>
      <c r="EP32" s="284"/>
      <c r="EQ32" s="284"/>
      <c r="ER32" s="284"/>
      <c r="ES32" s="284"/>
      <c r="ET32" s="284"/>
      <c r="EU32" s="284"/>
      <c r="EV32" s="284"/>
      <c r="EW32" s="284"/>
      <c r="EX32" s="284"/>
      <c r="EY32" s="284"/>
      <c r="EZ32" s="285"/>
      <c r="FA32" s="218"/>
      <c r="FB32" s="219"/>
      <c r="FC32" s="284"/>
      <c r="FD32" s="284"/>
      <c r="FE32" s="284"/>
      <c r="FF32" s="284"/>
      <c r="FG32" s="284"/>
      <c r="FH32" s="284"/>
      <c r="FI32" s="284"/>
      <c r="FJ32" s="284"/>
      <c r="FK32" s="284"/>
      <c r="FL32" s="284"/>
      <c r="FM32" s="285"/>
      <c r="FN32" s="218"/>
      <c r="FO32" s="219"/>
      <c r="FP32" s="284"/>
      <c r="FQ32" s="284"/>
      <c r="FR32" s="284"/>
      <c r="FS32" s="284"/>
      <c r="FT32" s="284"/>
      <c r="FU32" s="284"/>
      <c r="FV32" s="284"/>
      <c r="FW32" s="284"/>
      <c r="FX32" s="284"/>
      <c r="FY32" s="284"/>
      <c r="FZ32" s="285"/>
      <c r="GA32" s="218"/>
      <c r="GB32" s="219"/>
      <c r="GC32" s="284"/>
      <c r="GD32" s="284"/>
      <c r="GE32" s="284"/>
      <c r="GF32" s="284"/>
      <c r="GG32" s="284"/>
      <c r="GH32" s="284"/>
      <c r="GI32" s="284"/>
      <c r="GJ32" s="284"/>
      <c r="GK32" s="284"/>
      <c r="GL32" s="284"/>
      <c r="GM32" s="285"/>
      <c r="GN32" s="218"/>
      <c r="GO32" s="219"/>
      <c r="GP32" s="284"/>
      <c r="GQ32" s="284"/>
      <c r="GR32" s="284"/>
      <c r="GS32" s="284"/>
      <c r="GT32" s="284"/>
      <c r="GU32" s="284"/>
      <c r="GV32" s="284"/>
      <c r="GW32" s="284"/>
      <c r="GX32" s="284"/>
      <c r="GY32" s="284"/>
      <c r="GZ32" s="285"/>
      <c r="HA32" s="218"/>
      <c r="HB32" s="219"/>
      <c r="HC32" s="284"/>
      <c r="HD32" s="284"/>
      <c r="HE32" s="284"/>
      <c r="HF32" s="284"/>
      <c r="HG32" s="284"/>
      <c r="HH32" s="284"/>
      <c r="HI32" s="284"/>
      <c r="HJ32" s="284"/>
      <c r="HK32" s="284"/>
      <c r="HL32" s="284"/>
      <c r="HM32" s="285"/>
      <c r="HN32" s="218"/>
      <c r="HO32" s="219"/>
      <c r="HP32" s="284"/>
      <c r="HQ32" s="284"/>
      <c r="HR32" s="284"/>
      <c r="HS32" s="284"/>
      <c r="HT32" s="284"/>
      <c r="HU32" s="284"/>
      <c r="HV32" s="284"/>
      <c r="HW32" s="284"/>
      <c r="HX32" s="284"/>
      <c r="HY32" s="284"/>
      <c r="HZ32" s="285"/>
      <c r="IA32" s="218"/>
      <c r="IB32" s="219"/>
      <c r="IC32" s="284"/>
      <c r="ID32" s="284"/>
      <c r="IE32" s="284"/>
      <c r="IF32" s="284"/>
      <c r="IG32" s="284"/>
      <c r="IH32" s="284"/>
      <c r="II32" s="284"/>
      <c r="IJ32" s="284"/>
      <c r="IK32" s="284"/>
      <c r="IL32" s="284"/>
      <c r="IM32" s="285"/>
      <c r="IN32" s="218"/>
      <c r="IO32" s="219"/>
      <c r="IP32" s="284"/>
      <c r="IQ32" s="284"/>
      <c r="IR32" s="284"/>
      <c r="IS32" s="284"/>
      <c r="IT32" s="284"/>
      <c r="IU32" s="284"/>
      <c r="IV32" s="284"/>
    </row>
    <row r="33" spans="1:256" x14ac:dyDescent="0.2">
      <c r="A33" s="218"/>
      <c r="B33" s="219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5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5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5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5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5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5"/>
      <c r="N38" s="211"/>
      <c r="O38" s="211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07"/>
      <c r="AB38" s="207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07"/>
      <c r="AO38" s="207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07"/>
      <c r="BB38" s="207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07"/>
      <c r="BO38" s="207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07"/>
      <c r="CB38" s="207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07"/>
      <c r="CO38" s="207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07"/>
      <c r="DB38" s="207"/>
      <c r="DC38" s="289"/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07"/>
      <c r="DO38" s="207"/>
      <c r="DP38" s="289"/>
      <c r="DQ38" s="289"/>
      <c r="DR38" s="289"/>
      <c r="DS38" s="289"/>
      <c r="DT38" s="289"/>
      <c r="DU38" s="289"/>
      <c r="DV38" s="289"/>
      <c r="DW38" s="289"/>
      <c r="DX38" s="289"/>
      <c r="DY38" s="289"/>
      <c r="DZ38" s="289"/>
      <c r="EA38" s="207"/>
      <c r="EB38" s="207"/>
      <c r="EC38" s="289"/>
      <c r="ED38" s="289"/>
      <c r="EE38" s="289"/>
      <c r="EF38" s="289"/>
      <c r="EG38" s="289"/>
      <c r="EH38" s="289"/>
      <c r="EI38" s="289"/>
      <c r="EJ38" s="289"/>
      <c r="EK38" s="289"/>
      <c r="EL38" s="289"/>
      <c r="EM38" s="289"/>
      <c r="EN38" s="207"/>
      <c r="EO38" s="207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07"/>
      <c r="FB38" s="207"/>
      <c r="FC38" s="289"/>
      <c r="FD38" s="289"/>
      <c r="FE38" s="289"/>
      <c r="FF38" s="289"/>
      <c r="FG38" s="289"/>
      <c r="FH38" s="289"/>
      <c r="FI38" s="289"/>
      <c r="FJ38" s="289"/>
      <c r="FK38" s="289"/>
      <c r="FL38" s="289"/>
      <c r="FM38" s="289"/>
      <c r="FN38" s="207"/>
      <c r="FO38" s="207"/>
      <c r="FP38" s="289"/>
      <c r="FQ38" s="289"/>
      <c r="FR38" s="289"/>
      <c r="FS38" s="289"/>
      <c r="FT38" s="289"/>
      <c r="FU38" s="289"/>
      <c r="FV38" s="289"/>
      <c r="FW38" s="289"/>
      <c r="FX38" s="289"/>
      <c r="FY38" s="289"/>
      <c r="FZ38" s="289"/>
      <c r="GA38" s="207"/>
      <c r="GB38" s="207"/>
      <c r="GC38" s="289"/>
      <c r="GD38" s="289"/>
      <c r="GE38" s="289"/>
      <c r="GF38" s="289"/>
      <c r="GG38" s="289"/>
      <c r="GH38" s="289"/>
      <c r="GI38" s="289"/>
      <c r="GJ38" s="289"/>
      <c r="GK38" s="289"/>
      <c r="GL38" s="289"/>
      <c r="GM38" s="289"/>
      <c r="GN38" s="207"/>
      <c r="GO38" s="207"/>
      <c r="GP38" s="289"/>
      <c r="GQ38" s="289"/>
      <c r="GR38" s="289"/>
      <c r="GS38" s="289"/>
      <c r="GT38" s="289"/>
      <c r="GU38" s="289"/>
      <c r="GV38" s="289"/>
      <c r="GW38" s="289"/>
      <c r="GX38" s="289"/>
      <c r="GY38" s="289"/>
      <c r="GZ38" s="289"/>
      <c r="HA38" s="207"/>
      <c r="HB38" s="207"/>
      <c r="HC38" s="289"/>
      <c r="HD38" s="289"/>
      <c r="HE38" s="289"/>
      <c r="HF38" s="289"/>
      <c r="HG38" s="289"/>
      <c r="HH38" s="289"/>
      <c r="HI38" s="289"/>
      <c r="HJ38" s="289"/>
      <c r="HK38" s="289"/>
      <c r="HL38" s="289"/>
      <c r="HM38" s="289"/>
      <c r="HN38" s="207"/>
      <c r="HO38" s="207"/>
      <c r="HP38" s="289"/>
      <c r="HQ38" s="289"/>
      <c r="HR38" s="289"/>
      <c r="HS38" s="289"/>
      <c r="HT38" s="289"/>
      <c r="HU38" s="289"/>
      <c r="HV38" s="289"/>
      <c r="HW38" s="289"/>
      <c r="HX38" s="289"/>
      <c r="HY38" s="289"/>
      <c r="HZ38" s="289"/>
      <c r="IA38" s="207"/>
      <c r="IB38" s="207"/>
      <c r="IC38" s="289"/>
      <c r="ID38" s="289"/>
      <c r="IE38" s="289"/>
      <c r="IF38" s="289"/>
      <c r="IG38" s="289"/>
      <c r="IH38" s="289"/>
      <c r="II38" s="289"/>
      <c r="IJ38" s="289"/>
      <c r="IK38" s="289"/>
      <c r="IL38" s="289"/>
      <c r="IM38" s="289"/>
      <c r="IN38" s="207"/>
      <c r="IO38" s="207"/>
      <c r="IP38" s="289"/>
      <c r="IQ38" s="289"/>
      <c r="IR38" s="289"/>
      <c r="IS38" s="289"/>
      <c r="IT38" s="289"/>
      <c r="IU38" s="289"/>
      <c r="IV38" s="289"/>
    </row>
    <row r="39" spans="1:256" x14ac:dyDescent="0.2">
      <c r="A39" s="218"/>
      <c r="B39" s="219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5"/>
      <c r="N39" s="211"/>
      <c r="O39" s="211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07"/>
      <c r="AB39" s="207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07"/>
      <c r="AO39" s="207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07"/>
      <c r="BB39" s="207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07"/>
      <c r="BO39" s="207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07"/>
      <c r="CB39" s="207"/>
      <c r="CC39" s="289"/>
      <c r="CD39" s="289"/>
      <c r="CE39" s="289"/>
      <c r="CF39" s="289"/>
      <c r="CG39" s="289"/>
      <c r="CH39" s="289"/>
      <c r="CI39" s="289"/>
      <c r="CJ39" s="289"/>
      <c r="CK39" s="289"/>
      <c r="CL39" s="289"/>
      <c r="CM39" s="289"/>
      <c r="CN39" s="207"/>
      <c r="CO39" s="207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07"/>
      <c r="DB39" s="207"/>
      <c r="DC39" s="289"/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07"/>
      <c r="DO39" s="207"/>
      <c r="DP39" s="289"/>
      <c r="DQ39" s="289"/>
      <c r="DR39" s="289"/>
      <c r="DS39" s="289"/>
      <c r="DT39" s="289"/>
      <c r="DU39" s="289"/>
      <c r="DV39" s="289"/>
      <c r="DW39" s="289"/>
      <c r="DX39" s="289"/>
      <c r="DY39" s="289"/>
      <c r="DZ39" s="289"/>
      <c r="EA39" s="207"/>
      <c r="EB39" s="207"/>
      <c r="EC39" s="289"/>
      <c r="ED39" s="289"/>
      <c r="EE39" s="289"/>
      <c r="EF39" s="289"/>
      <c r="EG39" s="289"/>
      <c r="EH39" s="289"/>
      <c r="EI39" s="289"/>
      <c r="EJ39" s="289"/>
      <c r="EK39" s="289"/>
      <c r="EL39" s="289"/>
      <c r="EM39" s="289"/>
      <c r="EN39" s="207"/>
      <c r="EO39" s="207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07"/>
      <c r="FB39" s="207"/>
      <c r="FC39" s="289"/>
      <c r="FD39" s="289"/>
      <c r="FE39" s="289"/>
      <c r="FF39" s="289"/>
      <c r="FG39" s="289"/>
      <c r="FH39" s="289"/>
      <c r="FI39" s="289"/>
      <c r="FJ39" s="289"/>
      <c r="FK39" s="289"/>
      <c r="FL39" s="289"/>
      <c r="FM39" s="289"/>
      <c r="FN39" s="207"/>
      <c r="FO39" s="207"/>
      <c r="FP39" s="289"/>
      <c r="FQ39" s="289"/>
      <c r="FR39" s="289"/>
      <c r="FS39" s="289"/>
      <c r="FT39" s="289"/>
      <c r="FU39" s="289"/>
      <c r="FV39" s="289"/>
      <c r="FW39" s="289"/>
      <c r="FX39" s="289"/>
      <c r="FY39" s="289"/>
      <c r="FZ39" s="289"/>
      <c r="GA39" s="207"/>
      <c r="GB39" s="207"/>
      <c r="GC39" s="289"/>
      <c r="GD39" s="289"/>
      <c r="GE39" s="289"/>
      <c r="GF39" s="289"/>
      <c r="GG39" s="289"/>
      <c r="GH39" s="289"/>
      <c r="GI39" s="289"/>
      <c r="GJ39" s="289"/>
      <c r="GK39" s="289"/>
      <c r="GL39" s="289"/>
      <c r="GM39" s="289"/>
      <c r="GN39" s="207"/>
      <c r="GO39" s="207"/>
      <c r="GP39" s="289"/>
      <c r="GQ39" s="289"/>
      <c r="GR39" s="289"/>
      <c r="GS39" s="289"/>
      <c r="GT39" s="289"/>
      <c r="GU39" s="289"/>
      <c r="GV39" s="289"/>
      <c r="GW39" s="289"/>
      <c r="GX39" s="289"/>
      <c r="GY39" s="289"/>
      <c r="GZ39" s="289"/>
      <c r="HA39" s="207"/>
      <c r="HB39" s="207"/>
      <c r="HC39" s="289"/>
      <c r="HD39" s="289"/>
      <c r="HE39" s="289"/>
      <c r="HF39" s="289"/>
      <c r="HG39" s="289"/>
      <c r="HH39" s="289"/>
      <c r="HI39" s="289"/>
      <c r="HJ39" s="289"/>
      <c r="HK39" s="289"/>
      <c r="HL39" s="289"/>
      <c r="HM39" s="289"/>
      <c r="HN39" s="207"/>
      <c r="HO39" s="207"/>
      <c r="HP39" s="289"/>
      <c r="HQ39" s="289"/>
      <c r="HR39" s="289"/>
      <c r="HS39" s="289"/>
      <c r="HT39" s="289"/>
      <c r="HU39" s="289"/>
      <c r="HV39" s="289"/>
      <c r="HW39" s="289"/>
      <c r="HX39" s="289"/>
      <c r="HY39" s="289"/>
      <c r="HZ39" s="289"/>
      <c r="IA39" s="207"/>
      <c r="IB39" s="207"/>
      <c r="IC39" s="289"/>
      <c r="ID39" s="289"/>
      <c r="IE39" s="289"/>
      <c r="IF39" s="289"/>
      <c r="IG39" s="289"/>
      <c r="IH39" s="289"/>
      <c r="II39" s="289"/>
      <c r="IJ39" s="289"/>
      <c r="IK39" s="289"/>
      <c r="IL39" s="289"/>
      <c r="IM39" s="289"/>
      <c r="IN39" s="207"/>
      <c r="IO39" s="207"/>
      <c r="IP39" s="289"/>
      <c r="IQ39" s="289"/>
      <c r="IR39" s="289"/>
      <c r="IS39" s="289"/>
      <c r="IT39" s="289"/>
      <c r="IU39" s="289"/>
      <c r="IV39" s="289"/>
    </row>
    <row r="40" spans="1:256" x14ac:dyDescent="0.2">
      <c r="A40" s="218"/>
      <c r="B40" s="219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5"/>
      <c r="N40" s="211"/>
      <c r="O40" s="211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07"/>
      <c r="AB40" s="207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07"/>
      <c r="AO40" s="207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07"/>
      <c r="BB40" s="207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07"/>
      <c r="BO40" s="207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07"/>
      <c r="CB40" s="207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07"/>
      <c r="CO40" s="207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07"/>
      <c r="DB40" s="207"/>
      <c r="DC40" s="289"/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07"/>
      <c r="DO40" s="207"/>
      <c r="DP40" s="289"/>
      <c r="DQ40" s="289"/>
      <c r="DR40" s="289"/>
      <c r="DS40" s="289"/>
      <c r="DT40" s="289"/>
      <c r="DU40" s="289"/>
      <c r="DV40" s="289"/>
      <c r="DW40" s="289"/>
      <c r="DX40" s="289"/>
      <c r="DY40" s="289"/>
      <c r="DZ40" s="289"/>
      <c r="EA40" s="207"/>
      <c r="EB40" s="207"/>
      <c r="EC40" s="289"/>
      <c r="ED40" s="289"/>
      <c r="EE40" s="289"/>
      <c r="EF40" s="289"/>
      <c r="EG40" s="289"/>
      <c r="EH40" s="289"/>
      <c r="EI40" s="289"/>
      <c r="EJ40" s="289"/>
      <c r="EK40" s="289"/>
      <c r="EL40" s="289"/>
      <c r="EM40" s="289"/>
      <c r="EN40" s="207"/>
      <c r="EO40" s="207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07"/>
      <c r="FB40" s="207"/>
      <c r="FC40" s="289"/>
      <c r="FD40" s="289"/>
      <c r="FE40" s="289"/>
      <c r="FF40" s="289"/>
      <c r="FG40" s="289"/>
      <c r="FH40" s="289"/>
      <c r="FI40" s="289"/>
      <c r="FJ40" s="289"/>
      <c r="FK40" s="289"/>
      <c r="FL40" s="289"/>
      <c r="FM40" s="289"/>
      <c r="FN40" s="207"/>
      <c r="FO40" s="207"/>
      <c r="FP40" s="289"/>
      <c r="FQ40" s="289"/>
      <c r="FR40" s="289"/>
      <c r="FS40" s="289"/>
      <c r="FT40" s="289"/>
      <c r="FU40" s="289"/>
      <c r="FV40" s="289"/>
      <c r="FW40" s="289"/>
      <c r="FX40" s="289"/>
      <c r="FY40" s="289"/>
      <c r="FZ40" s="289"/>
      <c r="GA40" s="207"/>
      <c r="GB40" s="207"/>
      <c r="GC40" s="289"/>
      <c r="GD40" s="289"/>
      <c r="GE40" s="289"/>
      <c r="GF40" s="289"/>
      <c r="GG40" s="289"/>
      <c r="GH40" s="289"/>
      <c r="GI40" s="289"/>
      <c r="GJ40" s="289"/>
      <c r="GK40" s="289"/>
      <c r="GL40" s="289"/>
      <c r="GM40" s="289"/>
      <c r="GN40" s="207"/>
      <c r="GO40" s="207"/>
      <c r="GP40" s="289"/>
      <c r="GQ40" s="289"/>
      <c r="GR40" s="289"/>
      <c r="GS40" s="289"/>
      <c r="GT40" s="289"/>
      <c r="GU40" s="289"/>
      <c r="GV40" s="289"/>
      <c r="GW40" s="289"/>
      <c r="GX40" s="289"/>
      <c r="GY40" s="289"/>
      <c r="GZ40" s="289"/>
      <c r="HA40" s="207"/>
      <c r="HB40" s="207"/>
      <c r="HC40" s="289"/>
      <c r="HD40" s="289"/>
      <c r="HE40" s="289"/>
      <c r="HF40" s="289"/>
      <c r="HG40" s="289"/>
      <c r="HH40" s="289"/>
      <c r="HI40" s="289"/>
      <c r="HJ40" s="289"/>
      <c r="HK40" s="289"/>
      <c r="HL40" s="289"/>
      <c r="HM40" s="289"/>
      <c r="HN40" s="207"/>
      <c r="HO40" s="207"/>
      <c r="HP40" s="289"/>
      <c r="HQ40" s="289"/>
      <c r="HR40" s="289"/>
      <c r="HS40" s="289"/>
      <c r="HT40" s="289"/>
      <c r="HU40" s="289"/>
      <c r="HV40" s="289"/>
      <c r="HW40" s="289"/>
      <c r="HX40" s="289"/>
      <c r="HY40" s="289"/>
      <c r="HZ40" s="289"/>
      <c r="IA40" s="207"/>
      <c r="IB40" s="207"/>
      <c r="IC40" s="289"/>
      <c r="ID40" s="289"/>
      <c r="IE40" s="289"/>
      <c r="IF40" s="289"/>
      <c r="IG40" s="289"/>
      <c r="IH40" s="289"/>
      <c r="II40" s="289"/>
      <c r="IJ40" s="289"/>
      <c r="IK40" s="289"/>
      <c r="IL40" s="289"/>
      <c r="IM40" s="289"/>
      <c r="IN40" s="207"/>
      <c r="IO40" s="207"/>
      <c r="IP40" s="289"/>
      <c r="IQ40" s="289"/>
      <c r="IR40" s="289"/>
      <c r="IS40" s="289"/>
      <c r="IT40" s="289"/>
      <c r="IU40" s="289"/>
      <c r="IV40" s="289"/>
    </row>
    <row r="41" spans="1:256" x14ac:dyDescent="0.2">
      <c r="A41" s="218"/>
      <c r="B41" s="219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5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5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5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5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5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5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5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5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5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5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5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5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5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5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5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5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5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5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5"/>
    </row>
    <row r="60" spans="1:256" x14ac:dyDescent="0.2">
      <c r="A60" s="218"/>
      <c r="B60" s="219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5"/>
    </row>
    <row r="61" spans="1:256" x14ac:dyDescent="0.2">
      <c r="A61" s="218"/>
      <c r="B61" s="219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5"/>
    </row>
    <row r="62" spans="1:256" x14ac:dyDescent="0.2">
      <c r="A62" s="218"/>
      <c r="B62" s="219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5"/>
    </row>
    <row r="63" spans="1:256" x14ac:dyDescent="0.2">
      <c r="A63" s="218"/>
      <c r="B63" s="219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5"/>
    </row>
    <row r="64" spans="1:256" x14ac:dyDescent="0.2">
      <c r="A64" s="218"/>
      <c r="B64" s="219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5"/>
    </row>
    <row r="65" spans="1:13" x14ac:dyDescent="0.2">
      <c r="A65" s="218"/>
      <c r="B65" s="219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5"/>
    </row>
    <row r="66" spans="1:13" x14ac:dyDescent="0.2">
      <c r="A66" s="218"/>
      <c r="B66" s="219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</row>
    <row r="67" spans="1:13" x14ac:dyDescent="0.2">
      <c r="A67" s="218"/>
      <c r="B67" s="219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5"/>
    </row>
    <row r="68" spans="1:13" x14ac:dyDescent="0.2">
      <c r="A68" s="218"/>
      <c r="B68" s="219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5"/>
    </row>
    <row r="69" spans="1:13" x14ac:dyDescent="0.2">
      <c r="A69" s="218"/>
      <c r="B69" s="219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5"/>
    </row>
    <row r="70" spans="1:13" ht="12" thickBot="1" x14ac:dyDescent="0.25">
      <c r="A70" s="220"/>
      <c r="B70" s="221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8" t="s">
        <v>848</v>
      </c>
      <c r="B72" s="288"/>
      <c r="C72" s="288"/>
      <c r="D72" s="288"/>
      <c r="E72" s="28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</row>
    <row r="74" spans="1:13" x14ac:dyDescent="0.2">
      <c r="A74" s="211"/>
      <c r="B74" s="211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</row>
    <row r="75" spans="1:13" x14ac:dyDescent="0.2">
      <c r="A75" s="211"/>
      <c r="B75" s="211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</row>
    <row r="76" spans="1:13" x14ac:dyDescent="0.2">
      <c r="A76" s="211"/>
      <c r="B76" s="211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</row>
    <row r="77" spans="1:13" x14ac:dyDescent="0.2">
      <c r="A77" s="211"/>
      <c r="B77" s="211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</row>
    <row r="78" spans="1:13" x14ac:dyDescent="0.2">
      <c r="A78" s="211"/>
      <c r="B78" s="211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</row>
    <row r="79" spans="1:13" x14ac:dyDescent="0.2">
      <c r="A79" s="211"/>
      <c r="B79" s="211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</row>
    <row r="80" spans="1:13" x14ac:dyDescent="0.2">
      <c r="A80" s="211"/>
      <c r="B80" s="211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</row>
    <row r="81" spans="1:13" x14ac:dyDescent="0.2">
      <c r="A81" s="211"/>
      <c r="B81" s="211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</row>
    <row r="82" spans="1:13" x14ac:dyDescent="0.2">
      <c r="A82" s="211"/>
      <c r="B82" s="211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</row>
    <row r="83" spans="1:13" x14ac:dyDescent="0.2">
      <c r="A83" s="211"/>
      <c r="B83" s="211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</row>
    <row r="84" spans="1:13" x14ac:dyDescent="0.2">
      <c r="A84" s="211"/>
      <c r="B84" s="211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</row>
    <row r="85" spans="1:13" x14ac:dyDescent="0.2">
      <c r="A85" s="211"/>
      <c r="B85" s="211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</row>
    <row r="86" spans="1:13" x14ac:dyDescent="0.2">
      <c r="A86" s="211"/>
      <c r="B86" s="211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</row>
    <row r="87" spans="1:13" x14ac:dyDescent="0.2">
      <c r="A87" s="211"/>
      <c r="B87" s="211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</row>
    <row r="88" spans="1:13" x14ac:dyDescent="0.2">
      <c r="A88" s="211"/>
      <c r="B88" s="211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</row>
    <row r="89" spans="1:13" x14ac:dyDescent="0.2">
      <c r="A89" s="211"/>
      <c r="B89" s="211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</row>
    <row r="90" spans="1:13" x14ac:dyDescent="0.2">
      <c r="A90" s="211"/>
      <c r="B90" s="211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</row>
  </sheetData>
  <sheetProtection password="A7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2014-08-29T17:55:20Z</cp:lastPrinted>
  <dcterms:created xsi:type="dcterms:W3CDTF">1997-12-04T19:04:30Z</dcterms:created>
  <dcterms:modified xsi:type="dcterms:W3CDTF">2014-12-05T16:33:59Z</dcterms:modified>
</cp:coreProperties>
</file>