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0" i="1" l="1"/>
  <c r="I591" i="1" l="1"/>
  <c r="H591" i="1"/>
  <c r="J593" i="1"/>
  <c r="J595" i="1"/>
  <c r="J594" i="1"/>
  <c r="I594" i="1"/>
  <c r="I595" i="1"/>
  <c r="F499" i="1" l="1"/>
  <c r="F498" i="1"/>
  <c r="J604" i="1"/>
  <c r="I604" i="1"/>
  <c r="H604" i="1"/>
  <c r="K266" i="1"/>
  <c r="G359" i="1"/>
  <c r="H358" i="1"/>
  <c r="G358" i="1"/>
  <c r="H159" i="1"/>
  <c r="H154" i="1"/>
  <c r="F5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F17" i="13"/>
  <c r="G17" i="13"/>
  <c r="L251" i="1"/>
  <c r="C114" i="2" s="1"/>
  <c r="F18" i="13"/>
  <c r="G18" i="13"/>
  <c r="L252" i="1"/>
  <c r="D18" i="13" s="1"/>
  <c r="C18" i="13" s="1"/>
  <c r="F19" i="13"/>
  <c r="D19" i="13" s="1"/>
  <c r="C19" i="13" s="1"/>
  <c r="G19" i="13"/>
  <c r="L253" i="1"/>
  <c r="F29" i="13"/>
  <c r="G29" i="13"/>
  <c r="L358" i="1"/>
  <c r="L359" i="1"/>
  <c r="L360" i="1"/>
  <c r="D127" i="2" s="1"/>
  <c r="D128" i="2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51" i="1" s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C57" i="2" s="1"/>
  <c r="F94" i="1"/>
  <c r="C58" i="2" s="1"/>
  <c r="F111" i="1"/>
  <c r="G111" i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F169" i="1" s="1"/>
  <c r="G147" i="1"/>
  <c r="D85" i="2" s="1"/>
  <c r="D91" i="2" s="1"/>
  <c r="G162" i="1"/>
  <c r="H147" i="1"/>
  <c r="H162" i="1"/>
  <c r="H169" i="1" s="1"/>
  <c r="I147" i="1"/>
  <c r="I169" i="1" s="1"/>
  <c r="I162" i="1"/>
  <c r="L250" i="1"/>
  <c r="C113" i="2" s="1"/>
  <c r="L332" i="1"/>
  <c r="E113" i="2" s="1"/>
  <c r="L254" i="1"/>
  <c r="L268" i="1"/>
  <c r="C142" i="2" s="1"/>
  <c r="L269" i="1"/>
  <c r="L349" i="1"/>
  <c r="E142" i="2" s="1"/>
  <c r="L350" i="1"/>
  <c r="C26" i="10" s="1"/>
  <c r="I665" i="1"/>
  <c r="I670" i="1"/>
  <c r="G662" i="1"/>
  <c r="I669" i="1"/>
  <c r="C42" i="10"/>
  <c r="L374" i="1"/>
  <c r="L375" i="1"/>
  <c r="L376" i="1"/>
  <c r="C29" i="10" s="1"/>
  <c r="L377" i="1"/>
  <c r="L378" i="1"/>
  <c r="L379" i="1"/>
  <c r="L380" i="1"/>
  <c r="B2" i="10"/>
  <c r="L344" i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F78" i="2" s="1"/>
  <c r="F81" i="2" s="1"/>
  <c r="C74" i="2"/>
  <c r="C75" i="2"/>
  <c r="C76" i="2"/>
  <c r="E76" i="2"/>
  <c r="E78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2" i="2"/>
  <c r="D115" i="2"/>
  <c r="F115" i="2"/>
  <c r="G115" i="2"/>
  <c r="E121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G625" i="1" s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I247" i="1"/>
  <c r="J247" i="1"/>
  <c r="K247" i="1"/>
  <c r="F256" i="1"/>
  <c r="G256" i="1"/>
  <c r="H256" i="1"/>
  <c r="I256" i="1"/>
  <c r="L256" i="1" s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H446" i="1"/>
  <c r="G641" i="1" s="1"/>
  <c r="F452" i="1"/>
  <c r="F461" i="1" s="1"/>
  <c r="H639" i="1" s="1"/>
  <c r="G452" i="1"/>
  <c r="H452" i="1"/>
  <c r="F460" i="1"/>
  <c r="G460" i="1"/>
  <c r="H460" i="1"/>
  <c r="I470" i="1"/>
  <c r="J470" i="1"/>
  <c r="J476" i="1" s="1"/>
  <c r="H626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F571" i="1" s="1"/>
  <c r="G560" i="1"/>
  <c r="H560" i="1"/>
  <c r="I560" i="1"/>
  <c r="J560" i="1"/>
  <c r="J571" i="1" s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30" i="1"/>
  <c r="H631" i="1"/>
  <c r="H636" i="1"/>
  <c r="H637" i="1"/>
  <c r="H638" i="1"/>
  <c r="G643" i="1"/>
  <c r="G644" i="1"/>
  <c r="G650" i="1"/>
  <c r="G652" i="1"/>
  <c r="H652" i="1"/>
  <c r="G653" i="1"/>
  <c r="H653" i="1"/>
  <c r="G654" i="1"/>
  <c r="H654" i="1"/>
  <c r="H655" i="1"/>
  <c r="D50" i="2"/>
  <c r="F18" i="2"/>
  <c r="L433" i="1"/>
  <c r="G22" i="2"/>
  <c r="H192" i="1"/>
  <c r="L570" i="1"/>
  <c r="G36" i="2"/>
  <c r="C91" i="2" l="1"/>
  <c r="E123" i="2"/>
  <c r="H112" i="1"/>
  <c r="H193" i="1" s="1"/>
  <c r="H571" i="1"/>
  <c r="I571" i="1"/>
  <c r="K500" i="1"/>
  <c r="L382" i="1"/>
  <c r="G636" i="1" s="1"/>
  <c r="J636" i="1" s="1"/>
  <c r="F85" i="2"/>
  <c r="F91" i="2" s="1"/>
  <c r="F104" i="2" s="1"/>
  <c r="D31" i="2"/>
  <c r="E131" i="2"/>
  <c r="F22" i="13"/>
  <c r="C22" i="13" s="1"/>
  <c r="L565" i="1"/>
  <c r="L539" i="1"/>
  <c r="J545" i="1"/>
  <c r="I476" i="1"/>
  <c r="H625" i="1" s="1"/>
  <c r="J625" i="1" s="1"/>
  <c r="H461" i="1"/>
  <c r="H641" i="1" s="1"/>
  <c r="L427" i="1"/>
  <c r="F408" i="1"/>
  <c r="H643" i="1" s="1"/>
  <c r="J643" i="1" s="1"/>
  <c r="E103" i="2"/>
  <c r="G81" i="2"/>
  <c r="F130" i="2"/>
  <c r="F144" i="2" s="1"/>
  <c r="F145" i="2" s="1"/>
  <c r="C32" i="10"/>
  <c r="E125" i="2"/>
  <c r="E13" i="13"/>
  <c r="C13" i="13" s="1"/>
  <c r="G408" i="1"/>
  <c r="H645" i="1" s="1"/>
  <c r="K605" i="1"/>
  <c r="G648" i="1" s="1"/>
  <c r="K571" i="1"/>
  <c r="L560" i="1"/>
  <c r="L571" i="1" s="1"/>
  <c r="L419" i="1"/>
  <c r="I408" i="1"/>
  <c r="C78" i="2"/>
  <c r="E114" i="2"/>
  <c r="E124" i="2"/>
  <c r="C13" i="10"/>
  <c r="K545" i="1"/>
  <c r="J641" i="1"/>
  <c r="C12" i="10"/>
  <c r="E81" i="2"/>
  <c r="L614" i="1"/>
  <c r="D17" i="13"/>
  <c r="C17" i="13" s="1"/>
  <c r="G461" i="1"/>
  <c r="H640" i="1" s="1"/>
  <c r="J640" i="1" s="1"/>
  <c r="G161" i="2"/>
  <c r="H552" i="1"/>
  <c r="C19" i="10"/>
  <c r="L401" i="1"/>
  <c r="C139" i="2" s="1"/>
  <c r="E16" i="13"/>
  <c r="C16" i="13" s="1"/>
  <c r="E122" i="2"/>
  <c r="D81" i="2"/>
  <c r="G62" i="2"/>
  <c r="K503" i="1"/>
  <c r="G164" i="2"/>
  <c r="E62" i="2"/>
  <c r="E63" i="2" s="1"/>
  <c r="G112" i="1"/>
  <c r="A40" i="12"/>
  <c r="E112" i="2"/>
  <c r="G157" i="2"/>
  <c r="L270" i="1"/>
  <c r="C131" i="2"/>
  <c r="I452" i="1"/>
  <c r="G645" i="1"/>
  <c r="J645" i="1" s="1"/>
  <c r="J655" i="1"/>
  <c r="I52" i="1"/>
  <c r="H620" i="1" s="1"/>
  <c r="J620" i="1" s="1"/>
  <c r="C25" i="10"/>
  <c r="H25" i="13"/>
  <c r="E120" i="2"/>
  <c r="L328" i="1"/>
  <c r="E119" i="2"/>
  <c r="L309" i="1"/>
  <c r="E118" i="2"/>
  <c r="E110" i="2"/>
  <c r="H338" i="1"/>
  <c r="H352" i="1" s="1"/>
  <c r="G338" i="1"/>
  <c r="G352" i="1" s="1"/>
  <c r="F338" i="1"/>
  <c r="F352" i="1" s="1"/>
  <c r="E109" i="2"/>
  <c r="L362" i="1"/>
  <c r="G472" i="1" s="1"/>
  <c r="G474" i="1" s="1"/>
  <c r="H661" i="1"/>
  <c r="D29" i="13"/>
  <c r="C29" i="13" s="1"/>
  <c r="G661" i="1"/>
  <c r="H635" i="1"/>
  <c r="F661" i="1"/>
  <c r="A31" i="12"/>
  <c r="C111" i="2"/>
  <c r="C123" i="2"/>
  <c r="C121" i="2"/>
  <c r="C120" i="2"/>
  <c r="C119" i="2"/>
  <c r="K257" i="1"/>
  <c r="K271" i="1" s="1"/>
  <c r="D18" i="2"/>
  <c r="C18" i="2"/>
  <c r="L534" i="1"/>
  <c r="K550" i="1"/>
  <c r="I545" i="1"/>
  <c r="L529" i="1"/>
  <c r="G552" i="1"/>
  <c r="I369" i="1"/>
  <c r="H634" i="1" s="1"/>
  <c r="J634" i="1" s="1"/>
  <c r="J338" i="1"/>
  <c r="J352" i="1" s="1"/>
  <c r="C125" i="2"/>
  <c r="F662" i="1"/>
  <c r="C20" i="10"/>
  <c r="C70" i="2"/>
  <c r="D62" i="2"/>
  <c r="D63" i="2" s="1"/>
  <c r="C62" i="2"/>
  <c r="C63" i="2" s="1"/>
  <c r="C35" i="10"/>
  <c r="F112" i="1"/>
  <c r="E31" i="2"/>
  <c r="A13" i="12"/>
  <c r="L544" i="1"/>
  <c r="J552" i="1"/>
  <c r="K551" i="1"/>
  <c r="H545" i="1"/>
  <c r="G545" i="1"/>
  <c r="K549" i="1"/>
  <c r="F552" i="1"/>
  <c r="L524" i="1"/>
  <c r="H408" i="1"/>
  <c r="H644" i="1" s="1"/>
  <c r="J644" i="1" s="1"/>
  <c r="I460" i="1"/>
  <c r="I446" i="1"/>
  <c r="G642" i="1" s="1"/>
  <c r="K598" i="1"/>
  <c r="G647" i="1" s="1"/>
  <c r="J649" i="1"/>
  <c r="C110" i="2"/>
  <c r="D145" i="2"/>
  <c r="K338" i="1"/>
  <c r="K352" i="1" s="1"/>
  <c r="C15" i="10"/>
  <c r="L290" i="1"/>
  <c r="C10" i="10"/>
  <c r="J257" i="1"/>
  <c r="J271" i="1" s="1"/>
  <c r="I257" i="1"/>
  <c r="I271" i="1" s="1"/>
  <c r="G257" i="1"/>
  <c r="G271" i="1" s="1"/>
  <c r="F257" i="1"/>
  <c r="F271" i="1" s="1"/>
  <c r="L229" i="1"/>
  <c r="D14" i="13"/>
  <c r="C14" i="13" s="1"/>
  <c r="C18" i="10"/>
  <c r="D12" i="13"/>
  <c r="C12" i="13" s="1"/>
  <c r="E8" i="13"/>
  <c r="C8" i="13" s="1"/>
  <c r="C17" i="10"/>
  <c r="D7" i="13"/>
  <c r="C7" i="13" s="1"/>
  <c r="C16" i="10"/>
  <c r="D6" i="13"/>
  <c r="C6" i="13" s="1"/>
  <c r="C118" i="2"/>
  <c r="C11" i="10"/>
  <c r="D5" i="13"/>
  <c r="C5" i="13" s="1"/>
  <c r="C109" i="2"/>
  <c r="L211" i="1"/>
  <c r="H52" i="1"/>
  <c r="H619" i="1" s="1"/>
  <c r="J619" i="1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D103" i="2"/>
  <c r="I140" i="1"/>
  <c r="I193" i="1" s="1"/>
  <c r="G630" i="1" s="1"/>
  <c r="J630" i="1" s="1"/>
  <c r="A22" i="12"/>
  <c r="J652" i="1"/>
  <c r="G571" i="1"/>
  <c r="I434" i="1"/>
  <c r="G434" i="1"/>
  <c r="I663" i="1"/>
  <c r="D104" i="2" l="1"/>
  <c r="G104" i="2"/>
  <c r="E115" i="2"/>
  <c r="E104" i="2"/>
  <c r="C36" i="10"/>
  <c r="C81" i="2"/>
  <c r="C104" i="2" s="1"/>
  <c r="L408" i="1"/>
  <c r="G637" i="1" s="1"/>
  <c r="J637" i="1" s="1"/>
  <c r="I461" i="1"/>
  <c r="H642" i="1" s="1"/>
  <c r="J642" i="1" s="1"/>
  <c r="F51" i="2"/>
  <c r="C25" i="13"/>
  <c r="H33" i="13"/>
  <c r="E128" i="2"/>
  <c r="E145" i="2" s="1"/>
  <c r="G660" i="1"/>
  <c r="G664" i="1" s="1"/>
  <c r="G672" i="1" s="1"/>
  <c r="C5" i="10" s="1"/>
  <c r="G635" i="1"/>
  <c r="J635" i="1" s="1"/>
  <c r="C27" i="10"/>
  <c r="I661" i="1"/>
  <c r="F193" i="1"/>
  <c r="G627" i="1" s="1"/>
  <c r="G629" i="1"/>
  <c r="H468" i="1"/>
  <c r="E51" i="2"/>
  <c r="L545" i="1"/>
  <c r="K552" i="1"/>
  <c r="H646" i="1"/>
  <c r="J646" i="1" s="1"/>
  <c r="C115" i="2"/>
  <c r="D31" i="13"/>
  <c r="C31" i="13" s="1"/>
  <c r="L338" i="1"/>
  <c r="L352" i="1" s="1"/>
  <c r="F660" i="1"/>
  <c r="F664" i="1" s="1"/>
  <c r="H648" i="1"/>
  <c r="J648" i="1" s="1"/>
  <c r="E33" i="13"/>
  <c r="D35" i="13" s="1"/>
  <c r="C51" i="2"/>
  <c r="G631" i="1"/>
  <c r="J631" i="1" s="1"/>
  <c r="G193" i="1"/>
  <c r="G626" i="1"/>
  <c r="J626" i="1" s="1"/>
  <c r="J52" i="1"/>
  <c r="H621" i="1" s="1"/>
  <c r="J621" i="1" s="1"/>
  <c r="C38" i="10"/>
  <c r="G667" i="1" l="1"/>
  <c r="F468" i="1"/>
  <c r="H627" i="1" s="1"/>
  <c r="J627" i="1" s="1"/>
  <c r="G633" i="1"/>
  <c r="H472" i="1"/>
  <c r="H629" i="1"/>
  <c r="J629" i="1" s="1"/>
  <c r="H470" i="1"/>
  <c r="G628" i="1"/>
  <c r="G468" i="1"/>
  <c r="F672" i="1"/>
  <c r="C4" i="10" s="1"/>
  <c r="F667" i="1"/>
  <c r="C41" i="10"/>
  <c r="D38" i="10" s="1"/>
  <c r="F470" i="1" l="1"/>
  <c r="H474" i="1"/>
  <c r="H476" i="1" s="1"/>
  <c r="H624" i="1" s="1"/>
  <c r="J624" i="1" s="1"/>
  <c r="H633" i="1"/>
  <c r="J633" i="1" s="1"/>
  <c r="G470" i="1"/>
  <c r="G476" i="1" s="1"/>
  <c r="H623" i="1" s="1"/>
  <c r="J623" i="1" s="1"/>
  <c r="H628" i="1"/>
  <c r="J628" i="1"/>
  <c r="D37" i="10"/>
  <c r="D36" i="10"/>
  <c r="D35" i="10"/>
  <c r="D40" i="10"/>
  <c r="D39" i="10"/>
  <c r="D41" i="10" l="1"/>
  <c r="L244" i="1" l="1"/>
  <c r="G651" i="1" s="1"/>
  <c r="J651" i="1" s="1"/>
  <c r="H247" i="1"/>
  <c r="H257" i="1" s="1"/>
  <c r="H271" i="1" s="1"/>
  <c r="C124" i="2" l="1"/>
  <c r="C128" i="2" s="1"/>
  <c r="C145" i="2" s="1"/>
  <c r="D15" i="13"/>
  <c r="D33" i="13" s="1"/>
  <c r="D36" i="13" s="1"/>
  <c r="L247" i="1"/>
  <c r="C21" i="10"/>
  <c r="H662" i="1"/>
  <c r="I662" i="1" s="1"/>
  <c r="H647" i="1"/>
  <c r="J647" i="1" s="1"/>
  <c r="C15" i="13" l="1"/>
  <c r="C28" i="10"/>
  <c r="L257" i="1"/>
  <c r="L271" i="1" s="1"/>
  <c r="H660" i="1"/>
  <c r="G632" i="1" l="1"/>
  <c r="F472" i="1"/>
  <c r="H664" i="1"/>
  <c r="I660" i="1"/>
  <c r="I664" i="1" s="1"/>
  <c r="D19" i="10"/>
  <c r="D22" i="10"/>
  <c r="D16" i="10"/>
  <c r="D13" i="10"/>
  <c r="D15" i="10"/>
  <c r="D23" i="10"/>
  <c r="C30" i="10"/>
  <c r="D18" i="10"/>
  <c r="D27" i="10"/>
  <c r="D12" i="10"/>
  <c r="D25" i="10"/>
  <c r="D20" i="10"/>
  <c r="D10" i="10"/>
  <c r="D17" i="10"/>
  <c r="D24" i="10"/>
  <c r="D11" i="10"/>
  <c r="D26" i="10"/>
  <c r="D21" i="10"/>
  <c r="F474" i="1" l="1"/>
  <c r="F476" i="1" s="1"/>
  <c r="H622" i="1" s="1"/>
  <c r="H632" i="1"/>
  <c r="J632" i="1" s="1"/>
  <c r="I667" i="1"/>
  <c r="I672" i="1"/>
  <c r="C7" i="10" s="1"/>
  <c r="D28" i="10"/>
  <c r="H667" i="1"/>
  <c r="H672" i="1"/>
  <c r="C6" i="10" s="1"/>
  <c r="J622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<sst xmlns="http://schemas.openxmlformats.org/spreadsheetml/2006/main" count="3956" uniqueCount="914">
  <si>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</si>
  <si>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</si>
  <si>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</si>
  <si>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</si>
  <si>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</si>
  <si>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</si>
  <si>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</si>
  <si>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</si>
  <si>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</si>
  <si>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</si>
  <si>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</si>
  <si>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</si>
  <si>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</si>
  <si>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</si>
  <si>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</si>
  <si>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</si>
  <si>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</si>
  <si>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</si>
  <si>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</si>
  <si>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</si>
  <si>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</si>
  <si>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</si>
  <si>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</si>
  <si>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</si>
  <si>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</si>
  <si>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</si>
  <si>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</si>
  <si>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</si>
  <si>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</si>
  <si>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</si>
  <si>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</si>
  <si>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</si>
  <si>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</si>
  <si>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</si>
  <si>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</si>
  <si>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</si>
  <si>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</si>
  <si>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</si>
  <si>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</si>
  <si>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</si>
  <si>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</si>
  <si>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</si>
  <si>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</si>
  <si>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</si>
  <si>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</si>
  <si>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</si>
  <si>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</si>
  <si>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</si>
  <si>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</si>
  <si>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</si>
  <si>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</si>
  <si>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</si>
  <si>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</si>
  <si>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</si>
  <si>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</si>
  <si>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</si>
  <si>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</si>
  <si>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</si>
  <si>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</si>
  <si>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</si>
  <si>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</si>
  <si>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</si>
  <si>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</si>
  <si>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</si>
  <si>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</si>
  <si>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</si>
  <si>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</si>
  <si>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</si>
  <si>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</si>
  <si>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</si>
  <si>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</si>
  <si>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</si>
  <si>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</si>
  <si>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</si>
  <si>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</si>
  <si>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</si>
  <si>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</si>
  <si>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</si>
  <si>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</si>
  <si>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</si>
  <si>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</si>
  <si>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</si>
  <si>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</si>
  <si>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</si>
  <si>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</si>
  <si>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</si>
  <si>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</si>
  <si>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</si>
  <si>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</si>
  <si>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</si>
  <si>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</si>
  <si>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</si>
  <si>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</si>
  <si>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</si>
  <si>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</si>
  <si>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</si>
  <si>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</si>
  <si>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</si>
  <si>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</si>
  <si>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</si>
  <si>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</si>
  <si>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</si>
  <si>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</si>
  <si>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</si>
  <si>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</si>
  <si>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</si>
  <si>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</si>
  <si>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</si>
  <si>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</si>
  <si>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</si>
  <si>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</si>
  <si>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</si>
  <si>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</si>
  <si>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</si>
  <si>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</si>
  <si>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</si>
  <si>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</si>
  <si>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</si>
  <si>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</si>
  <si>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</si>
  <si>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</si>
  <si>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</si>
  <si>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</si>
  <si>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</si>
  <si>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</si>
  <si>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</si>
  <si>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</si>
  <si>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</si>
  <si>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</si>
  <si>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</si>
  <si>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</si>
  <si>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</si>
  <si>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</si>
  <si>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</si>
  <si>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</si>
  <si>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</si>
  <si>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</si>
  <si>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</si>
  <si>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</si>
  <si>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</si>
  <si>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</si>
  <si>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</si>
  <si>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</si>
  <si>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</si>
  <si>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</si>
  <si>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</si>
  <si>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</si>
  <si>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</si>
  <si>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</si>
  <si>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</si>
  <si>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</si>
  <si>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</si>
  <si>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</si>
  <si>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</si>
  <si>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</si>
  <si>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</si>
  <si>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</si>
  <si>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</si>
  <si>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</si>
  <si>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</si>
  <si>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</si>
  <si>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</si>
  <si>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</si>
  <si>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</si>
  <si>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</si>
  <si>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</si>
  <si>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</si>
  <si>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</si>
  <si>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</si>
  <si>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</si>
  <si>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</si>
  <si>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</si>
  <si>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</si>
  <si>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</si>
  <si>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</si>
  <si>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</si>
  <si>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</si>
  <si>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</si>
  <si>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</si>
  <si>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</si>
  <si>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</si>
  <si>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</si>
  <si>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</si>
  <si>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</si>
  <si>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</si>
  <si>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</si>
  <si>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</si>
  <si>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</si>
  <si>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</si>
  <si>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</si>
  <si>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</si>
  <si>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</si>
  <si>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</si>
  <si>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</si>
  <si>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</si>
  <si>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</si>
  <si>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</si>
  <si>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</si>
  <si>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</si>
  <si>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</si>
  <si>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</si>
  <si>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</si>
  <si>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</si>
  <si>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</si>
  <si>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</si>
  <si>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</si>
  <si>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</si>
  <si>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</si>
  <si>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</si>
  <si>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</si>
  <si>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</si>
  <si>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</si>
  <si>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</si>
  <si>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</si>
  <si>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</si>
  <si>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</si>
  <si>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</si>
  <si>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</si>
  <si>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</si>
  <si>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</si>
  <si>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</si>
  <si>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</si>
  <si>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</si>
  <si>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</si>
  <si>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</si>
  <si>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</si>
  <si>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</si>
  <si>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</si>
  <si>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</si>
  <si>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</si>
  <si>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</si>
  <si>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</si>
  <si>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</si>
  <si>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</si>
  <si>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</si>
  <si>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</si>
  <si>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</si>
  <si>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</si>
  <si>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</si>
  <si>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</si>
  <si>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</si>
  <si>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</si>
  <si>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</si>
  <si>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</si>
  <si>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</si>
  <si>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</si>
  <si>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</si>
  <si>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</si>
  <si>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</si>
  <si>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</si>
  <si>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</si>
  <si>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</si>
  <si>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</si>
  <si>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</si>
  <si>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</si>
  <si>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</si>
  <si>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</si>
  <si>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</si>
  <si>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</si>
  <si>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</si>
  <si>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</si>
  <si>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</si>
  <si>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</si>
  <si>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</si>
  <si>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</si>
  <si>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</si>
  <si>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</si>
  <si>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</si>
  <si>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</si>
  <si>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</si>
  <si>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</si>
  <si>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</si>
  <si>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</si>
  <si>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</si>
  <si>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</si>
  <si>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</si>
  <si>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</si>
  <si>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</si>
  <si>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</si>
  <si>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</si>
  <si>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</si>
  <si>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</si>
  <si>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</si>
  <si>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</si>
  <si>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</si>
  <si>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</si>
  <si>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</si>
  <si>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</si>
  <si>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</si>
  <si>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</si>
  <si>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</si>
  <si>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</si>
  <si>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</si>
  <si>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</si>
  <si>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</si>
  <si>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</si>
  <si>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</si>
  <si>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</si>
  <si>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</si>
  <si>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</si>
  <si>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</si>
  <si>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</si>
  <si>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</si>
  <si>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</si>
  <si>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</si>
  <si>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</si>
  <si>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</si>
  <si>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</si>
  <si>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</si>
  <si>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</si>
  <si>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</si>
  <si>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</si>
  <si>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</si>
  <si>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</si>
  <si>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</si>
  <si>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</si>
  <si>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</si>
  <si>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</si>
  <si>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</si>
  <si>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</si>
  <si>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</si>
  <si>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</si>
  <si>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</si>
  <si>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</si>
  <si>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</si>
  <si>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</si>
  <si>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</si>
  <si>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</si>
  <si>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</si>
  <si>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</si>
  <si>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</si>
  <si>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</si>
  <si>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</si>
  <si>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</si>
  <si>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</si>
  <si>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</si>
  <si>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</si>
  <si>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</si>
  <si>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</si>
  <si>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</si>
  <si>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</si>
  <si>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</si>
  <si>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</si>
  <si>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</si>
  <si>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</si>
  <si>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</si>
  <si>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</si>
  <si>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</si>
  <si>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</si>
  <si>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</si>
  <si>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</si>
  <si>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</si>
  <si>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</si>
  <si>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</si>
  <si>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</si>
  <si>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</si>
  <si>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</si>
  <si>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</si>
  <si>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</si>
  <si>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</si>
  <si>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</si>
  <si>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</si>
  <si>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</si>
  <si>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</si>
  <si>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</si>
  <si>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</si>
  <si>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</si>
  <si>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</si>
  <si>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</si>
  <si>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</si>
  <si>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</si>
  <si>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</si>
  <si>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</si>
  <si>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</si>
  <si>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</si>
  <si>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</si>
  <si>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</si>
  <si>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</si>
  <si>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</si>
  <si>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</si>
  <si>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</si>
  <si>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</si>
  <si>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</si>
  <si>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</si>
  <si>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</si>
  <si>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</si>
  <si>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</si>
  <si>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</si>
  <si>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</si>
  <si>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</si>
  <si>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</si>
  <si>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</si>
  <si>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</si>
  <si>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</si>
  <si>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</si>
  <si>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</si>
  <si>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</si>
  <si>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</si>
  <si>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</si>
  <si>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</si>
  <si>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</si>
  <si>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</si>
  <si>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</si>
  <si>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</si>
  <si>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</si>
  <si>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</si>
  <si>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</si>
  <si>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</si>
  <si>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</si>
  <si>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</si>
  <si>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</si>
  <si>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</si>
  <si>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</si>
  <si>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</si>
  <si>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</si>
  <si>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</si>
  <si>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</si>
  <si>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</si>
  <si>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</si>
  <si>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</si>
  <si>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</si>
  <si>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</si>
  <si>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</si>
  <si>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</si>
  <si>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</si>
  <si>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</si>
  <si>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</si>
  <si>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</si>
  <si>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</si>
  <si>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</si>
  <si>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</si>
  <si>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</si>
  <si>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</si>
  <si>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</si>
  <si>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</si>
  <si>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</si>
  <si>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</si>
  <si>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</si>
  <si>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</si>
  <si>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</si>
  <si>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</si>
  <si>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</si>
  <si>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</si>
  <si>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</si>
  <si>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</si>
  <si>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</si>
  <si>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</si>
  <si>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</si>
  <si>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</si>
  <si>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</si>
  <si>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</si>
  <si>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</si>
  <si>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</si>
  <si>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</si>
  <si>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</si>
  <si>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</si>
  <si>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</si>
  <si>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</si>
  <si>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</si>
  <si>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</si>
  <si>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</si>
  <si>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</si>
  <si>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</si>
  <si>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</si>
  <si>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</si>
  <si>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</si>
  <si>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</si>
  <si>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</si>
  <si>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</si>
  <si>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</si>
  <si>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</si>
  <si>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</si>
  <si>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</si>
  <si>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</si>
  <si>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</si>
  <si>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</si>
  <si>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</si>
  <si>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</si>
  <si>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</si>
  <si>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</si>
  <si>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</si>
  <si>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</si>
  <si>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</si>
  <si>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</si>
  <si>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</si>
  <si>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</si>
  <si>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</si>
  <si>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</si>
  <si>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</si>
  <si>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</si>
  <si>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</si>
  <si>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</si>
  <si>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</si>
  <si>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</si>
  <si>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</si>
  <si>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</si>
  <si>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</si>
  <si>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</si>
  <si>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</si>
  <si>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</si>
  <si>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</si>
  <si>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</si>
  <si>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</si>
  <si>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</si>
  <si>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</si>
  <si>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</si>
  <si>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</si>
  <si>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</si>
  <si>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</si>
  <si>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</si>
  <si>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</si>
  <si>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</si>
  <si>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</si>
  <si>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</si>
  <si>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</si>
  <si>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</si>
  <si>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</si>
  <si>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</si>
  <si>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</si>
  <si>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</si>
  <si>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</si>
  <si>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</si>
  <si>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</si>
  <si>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</si>
  <si>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</si>
  <si>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</si>
  <si>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</si>
  <si>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</si>
  <si>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</si>
  <si>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</si>
  <si>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</si>
  <si>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</si>
  <si>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</si>
  <si>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</si>
  <si>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</si>
  <si>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</si>
  <si>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</si>
  <si>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</si>
  <si>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</si>
  <si>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</si>
  <si>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</si>
  <si>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</si>
  <si>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</si>
  <si>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</si>
  <si>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</si>
  <si>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</si>
  <si>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</si>
  <si>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</si>
  <si>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</si>
  <si>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</si>
  <si>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</si>
  <si>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</si>
  <si>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</si>
  <si>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</si>
  <si>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</si>
  <si>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</si>
  <si>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</si>
  <si>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</si>
  <si>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</si>
  <si>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</si>
  <si>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</si>
  <si>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</si>
  <si>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</si>
  <si>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</si>
  <si>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</si>
  <si>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</si>
  <si>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</si>
  <si>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</si>
  <si>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</si>
  <si>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</si>
  <si>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</si>
  <si>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</si>
  <si>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</si>
  <si>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</si>
  <si>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</si>
  <si>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</si>
  <si>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</si>
  <si>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</si>
  <si>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</si>
  <si>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</si>
  <si>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</si>
  <si>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</si>
  <si>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</si>
  <si>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</si>
  <si>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</si>
  <si>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</si>
  <si>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</si>
  <si>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</si>
  <si>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</si>
  <si>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</si>
  <si>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</si>
  <si>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</si>
  <si>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</si>
  <si>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</si>
  <si>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</si>
  <si>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</si>
  <si>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</si>
  <si>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</si>
  <si>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</si>
  <si>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</si>
  <si>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</si>
  <si>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</si>
  <si>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</si>
  <si>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</si>
  <si>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</si>
  <si>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</si>
  <si>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</si>
  <si>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</si>
  <si>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</si>
  <si>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</si>
  <si>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</si>
  <si>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</si>
  <si>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</si>
  <si>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</si>
  <si>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</si>
  <si>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</si>
  <si>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</si>
  <si>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</si>
  <si>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</si>
  <si>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</si>
  <si>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</si>
  <si>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</si>
  <si>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</si>
  <si>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</si>
  <si>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</si>
  <si>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</si>
  <si>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</si>
  <si>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</si>
  <si>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</si>
  <si>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</si>
  <si>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</si>
  <si>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</si>
  <si>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</si>
  <si>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</si>
  <si>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</si>
  <si>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</si>
  <si>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</si>
  <si>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</si>
  <si>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</si>
  <si>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</si>
  <si>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</si>
  <si>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</si>
  <si>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</si>
  <si>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</si>
  <si>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</si>
  <si>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</si>
  <si>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</si>
  <si>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</si>
  <si>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</si>
  <si>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</si>
  <si>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</si>
  <si>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</si>
  <si>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</si>
  <si>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</si>
  <si>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</si>
  <si>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</si>
  <si>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</si>
  <si>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</si>
  <si>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</si>
  <si>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</si>
  <si>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</si>
  <si>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</si>
  <si>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</si>
  <si>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</si>
  <si>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</si>
  <si>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</si>
  <si>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</si>
  <si>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</si>
  <si>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</si>
  <si>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</si>
  <si>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</si>
  <si>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</si>
  <si>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</si>
  <si>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</si>
  <si>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</si>
  <si>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</si>
  <si>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</si>
  <si>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</si>
  <si>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</si>
  <si>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</si>
  <si>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</si>
  <si>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</si>
  <si>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</si>
  <si>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</si>
  <si>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</si>
  <si>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</si>
  <si>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</si>
  <si>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</si>
  <si>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</si>
  <si>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</si>
  <si>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</si>
  <si>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</si>
  <si>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</si>
  <si>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</si>
  <si>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</si>
  <si>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</si>
  <si>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</si>
  <si>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</si>
  <si>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</si>
  <si>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</si>
  <si>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</si>
  <si>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</si>
  <si>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</si>
  <si>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</si>
  <si>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</si>
  <si>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</si>
  <si>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</si>
  <si>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</si>
  <si>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</si>
  <si>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</si>
  <si>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</si>
  <si>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</si>
  <si>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</si>
  <si>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</si>
  <si>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</si>
  <si>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</si>
  <si>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</si>
  <si>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</si>
  <si>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</si>
  <si>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</si>
  <si>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</si>
  <si>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</si>
  <si>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</si>
  <si>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</si>
  <si>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</si>
  <si>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</si>
  <si>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</si>
  <si>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</si>
  <si>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</si>
  <si>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</si>
  <si>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</si>
  <si>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</si>
  <si>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</si>
  <si>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</si>
  <si>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</si>
  <si>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</si>
  <si>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</si>
  <si>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</si>
  <si>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</si>
  <si>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</si>
  <si>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</si>
  <si>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</si>
  <si>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</si>
  <si>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</si>
  <si>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</si>
  <si>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</si>
  <si>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</si>
  <si>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</si>
  <si>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</si>
  <si>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</si>
  <si>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</si>
  <si>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</si>
  <si>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</si>
  <si>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</si>
  <si>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</si>
  <si>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</si>
  <si>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</si>
  <si>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</si>
  <si>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</si>
  <si>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</si>
  <si>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</si>
  <si>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</si>
  <si>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</si>
  <si>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</si>
  <si>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</si>
  <si>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</si>
  <si>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</si>
  <si>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</si>
  <si>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</si>
  <si>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</si>
  <si>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</si>
  <si>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</si>
  <si>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</si>
  <si>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</si>
  <si>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</si>
  <si>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</si>
  <si>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</si>
  <si>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</si>
  <si>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</si>
  <si>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</si>
  <si>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</si>
  <si>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</si>
  <si>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</si>
  <si>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</si>
  <si>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</si>
  <si>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</si>
  <si>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</si>
  <si>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</si>
  <si>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</si>
  <si>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</si>
  <si>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</si>
  <si>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</si>
  <si>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</si>
  <si>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</si>
  <si>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</si>
  <si>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</si>
  <si>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</si>
  <si>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</si>
  <si>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</si>
  <si>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</si>
  <si>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</si>
  <si>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</si>
  <si>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</si>
  <si>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</si>
  <si>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</si>
  <si>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</si>
  <si>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</si>
  <si>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</si>
  <si>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</si>
  <si>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</si>
  <si>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</si>
  <si>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</si>
  <si>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</si>
  <si>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</si>
  <si>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</si>
  <si>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</si>
  <si>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</si>
  <si>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</si>
  <si>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</si>
  <si>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</si>
  <si>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</si>
  <si>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</si>
  <si>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</si>
  <si>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</si>
  <si>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</si>
  <si>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</si>
  <si>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</si>
  <si>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</si>
  <si>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</si>
  <si>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</si>
  <si>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</si>
  <si>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</si>
  <si>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</si>
  <si>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</si>
  <si>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</si>
  <si>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</si>
  <si>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</si>
  <si>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</si>
  <si>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</si>
  <si>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</si>
  <si>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</si>
  <si>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</si>
  <si>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</si>
  <si>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</si>
  <si>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</si>
  <si>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</si>
  <si>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</si>
  <si>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</si>
  <si>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</si>
  <si>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</si>
  <si>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</si>
  <si>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</si>
  <si>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</si>
  <si>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</si>
  <si>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</si>
  <si>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</si>
  <si>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</si>
  <si>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</si>
  <si>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</si>
  <si>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</si>
  <si>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</si>
  <si>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</si>
  <si>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</si>
  <si>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</si>
  <si>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</si>
  <si>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</si>
  <si>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</si>
  <si>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</si>
  <si>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</si>
  <si>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</si>
  <si>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</si>
  <si>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</si>
  <si>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</si>
  <si>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</si>
  <si>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</si>
  <si>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</si>
  <si>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</si>
  <si>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</si>
  <si>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</si>
  <si>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</si>
  <si>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</si>
  <si>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</si>
  <si>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</si>
  <si>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</si>
  <si>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</si>
  <si>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</si>
  <si>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</si>
  <si>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</si>
  <si>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</si>
  <si>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</si>
  <si>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</si>
  <si>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</si>
  <si>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</si>
  <si>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</si>
  <si>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</si>
  <si>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</si>
  <si>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</si>
  <si>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</si>
  <si>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</si>
  <si>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</si>
  <si>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</si>
  <si>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</si>
  <si>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</si>
  <si>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</si>
  <si>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</si>
  <si>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</si>
  <si>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</si>
  <si>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</si>
  <si>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</si>
  <si>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</si>
  <si>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</si>
  <si>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Milton School District</t>
  </si>
  <si>
    <t>08/05</t>
  </si>
  <si>
    <t>08/20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</si>
</sst>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0" zoomScaleNormal="110" workbookViewId="0">
      <pane xSplit="5" ySplit="3" topLeftCell="F64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359</v>
      </c>
      <c r="C2" s="21">
        <v>359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333344</v>
      </c>
      <c r="G9" s="18"/>
      <c r="H9" s="18"/>
      <c r="I9" s="18">
        <v>231640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206298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33414</v>
      </c>
      <c r="G12" s="18">
        <v>6292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79441</v>
      </c>
      <c r="G13" s="18">
        <v>9636</v>
      </c>
      <c r="H13" s="18">
        <v>83127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86980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533179</v>
      </c>
      <c r="G19" s="41">
        <f>SUM(G9:G18)</f>
        <v>15928</v>
      </c>
      <c r="H19" s="41">
        <f>SUM(H9:H18)</f>
        <v>83127</v>
      </c>
      <c r="I19" s="41">
        <f>SUM(I9:I18)</f>
        <v>231640</v>
      </c>
      <c r="J19" s="41">
        <f>SUM(J9:J18)</f>
        <v>206298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39706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4069</v>
      </c>
      <c r="G23" s="18">
        <v>15928</v>
      </c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61507</v>
      </c>
      <c r="G24" s="18"/>
      <c r="H24" s="18">
        <v>43421</v>
      </c>
      <c r="I24" s="18">
        <v>37302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65576</v>
      </c>
      <c r="G32" s="41">
        <f>SUM(G22:G31)</f>
        <v>15928</v>
      </c>
      <c r="H32" s="41">
        <f>SUM(H22:H31)</f>
        <v>83127</v>
      </c>
      <c r="I32" s="41">
        <f>SUM(I22:I31)</f>
        <v>37302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>
        <v>194338</v>
      </c>
      <c r="J48" s="13">
        <f>SUM(I459)</f>
        <v>206298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533179-140576</f>
        <v>392603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467603</v>
      </c>
      <c r="G51" s="41">
        <f>SUM(G35:G50)</f>
        <v>0</v>
      </c>
      <c r="H51" s="41">
        <f>SUM(H35:H50)</f>
        <v>0</v>
      </c>
      <c r="I51" s="41">
        <f>SUM(I35:I50)</f>
        <v>194338</v>
      </c>
      <c r="J51" s="41">
        <f>SUM(J35:J50)</f>
        <v>206298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533179</v>
      </c>
      <c r="G52" s="41">
        <f>G51+G32</f>
        <v>15928</v>
      </c>
      <c r="H52" s="41">
        <f>H51+H32</f>
        <v>83127</v>
      </c>
      <c r="I52" s="41">
        <f>I51+I32</f>
        <v>231640</v>
      </c>
      <c r="J52" s="41">
        <f>J51+J32</f>
        <v>206298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4681204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4681204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4797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4797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137</v>
      </c>
      <c r="G96" s="18"/>
      <c r="H96" s="18"/>
      <c r="I96" s="18"/>
      <c r="J96" s="18">
        <v>790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61724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3749+238037</f>
        <v>241786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241923</v>
      </c>
      <c r="G111" s="41">
        <f>SUM(G96:G110)</f>
        <v>61724</v>
      </c>
      <c r="H111" s="41">
        <f>SUM(H96:H110)</f>
        <v>0</v>
      </c>
      <c r="I111" s="41">
        <f>SUM(I96:I110)</f>
        <v>0</v>
      </c>
      <c r="J111" s="41">
        <f>SUM(J96:J110)</f>
        <v>790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4927924</v>
      </c>
      <c r="G112" s="41">
        <f>G60+G111</f>
        <v>61724</v>
      </c>
      <c r="H112" s="41">
        <f>H60+H79+H94+H111</f>
        <v>0</v>
      </c>
      <c r="I112" s="41">
        <f>I60+I111</f>
        <v>0</v>
      </c>
      <c r="J112" s="41">
        <f>J60+J111</f>
        <v>790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2951563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879109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3830672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180047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16420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11457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481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207924</v>
      </c>
      <c r="G136" s="41">
        <f>SUM(G123:G135)</f>
        <v>481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4038596</v>
      </c>
      <c r="G140" s="41">
        <f>G121+SUM(G136:G137)</f>
        <v>481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19730+9058+2184+2344+67693+9440</f>
        <v>110449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400178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139806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12854+7086</f>
        <v>19940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132560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132560</v>
      </c>
      <c r="G162" s="41">
        <f>SUM(G150:G161)</f>
        <v>139806</v>
      </c>
      <c r="H162" s="41">
        <f>SUM(H150:H161)</f>
        <v>530567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132560</v>
      </c>
      <c r="G169" s="41">
        <f>G147+G162+SUM(G163:G168)</f>
        <v>139806</v>
      </c>
      <c r="H169" s="41">
        <f>H147+H162+SUM(H163:H168)</f>
        <v>530567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76042</v>
      </c>
      <c r="H179" s="18"/>
      <c r="I179" s="18"/>
      <c r="J179" s="18">
        <v>105000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76042</v>
      </c>
      <c r="H183" s="41">
        <f>SUM(H179:H182)</f>
        <v>0</v>
      </c>
      <c r="I183" s="41">
        <f>SUM(I179:I182)</f>
        <v>0</v>
      </c>
      <c r="J183" s="41">
        <f>SUM(J179:J182)</f>
        <v>105000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76042</v>
      </c>
      <c r="H192" s="41">
        <f>+H183+SUM(H188:H191)</f>
        <v>0</v>
      </c>
      <c r="I192" s="41">
        <f>I177+I183+SUM(I188:I191)</f>
        <v>0</v>
      </c>
      <c r="J192" s="41">
        <f>J183</f>
        <v>105000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9099080</v>
      </c>
      <c r="G193" s="47">
        <f>G112+G140+G169+G192</f>
        <v>278053</v>
      </c>
      <c r="H193" s="47">
        <f>H112+H140+H169+H192</f>
        <v>530567</v>
      </c>
      <c r="I193" s="47">
        <f>I112+I140+I169+I192</f>
        <v>0</v>
      </c>
      <c r="J193" s="47">
        <f>J112+J140+J192</f>
        <v>105790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944792</v>
      </c>
      <c r="G197" s="18">
        <v>448177</v>
      </c>
      <c r="H197" s="18">
        <v>12275</v>
      </c>
      <c r="I197" s="18">
        <v>29330</v>
      </c>
      <c r="J197" s="18">
        <v>7032</v>
      </c>
      <c r="K197" s="18"/>
      <c r="L197" s="19">
        <f>SUM(F197:K197)</f>
        <v>1441606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369140</v>
      </c>
      <c r="G198" s="18">
        <v>177281</v>
      </c>
      <c r="H198" s="18">
        <v>596778</v>
      </c>
      <c r="I198" s="18">
        <v>567</v>
      </c>
      <c r="J198" s="18"/>
      <c r="K198" s="18"/>
      <c r="L198" s="19">
        <f>SUM(F198:K198)</f>
        <v>1143766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11980</v>
      </c>
      <c r="G200" s="18">
        <v>4286</v>
      </c>
      <c r="H200" s="18">
        <v>16076</v>
      </c>
      <c r="I200" s="18">
        <v>269</v>
      </c>
      <c r="J200" s="18"/>
      <c r="K200" s="18"/>
      <c r="L200" s="19">
        <f>SUM(F200:K200)</f>
        <v>32611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88156</v>
      </c>
      <c r="G202" s="18">
        <v>29340</v>
      </c>
      <c r="H202" s="18">
        <v>1944</v>
      </c>
      <c r="I202" s="18">
        <v>932</v>
      </c>
      <c r="J202" s="18"/>
      <c r="K202" s="18">
        <v>169</v>
      </c>
      <c r="L202" s="19">
        <f t="shared" ref="L202:L208" si="0">SUM(F202:K202)</f>
        <v>120541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29592</v>
      </c>
      <c r="G203" s="18">
        <v>3673</v>
      </c>
      <c r="H203" s="18"/>
      <c r="I203" s="18">
        <v>6969</v>
      </c>
      <c r="J203" s="18"/>
      <c r="K203" s="18"/>
      <c r="L203" s="19">
        <f t="shared" si="0"/>
        <v>40234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4658</v>
      </c>
      <c r="G204" s="18">
        <v>399</v>
      </c>
      <c r="H204" s="18">
        <v>170346</v>
      </c>
      <c r="I204" s="18"/>
      <c r="J204" s="18"/>
      <c r="K204" s="18">
        <v>1956</v>
      </c>
      <c r="L204" s="19">
        <f t="shared" si="0"/>
        <v>177359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182898</v>
      </c>
      <c r="G205" s="18">
        <v>82842</v>
      </c>
      <c r="H205" s="18">
        <v>11395</v>
      </c>
      <c r="I205" s="18">
        <v>7402</v>
      </c>
      <c r="J205" s="18">
        <v>580</v>
      </c>
      <c r="K205" s="18">
        <v>577</v>
      </c>
      <c r="L205" s="19">
        <f t="shared" si="0"/>
        <v>285694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82553</v>
      </c>
      <c r="G207" s="18">
        <v>36471</v>
      </c>
      <c r="H207" s="18">
        <v>110944</v>
      </c>
      <c r="I207" s="18">
        <v>81564</v>
      </c>
      <c r="J207" s="18">
        <v>6085</v>
      </c>
      <c r="K207" s="18">
        <v>203</v>
      </c>
      <c r="L207" s="19">
        <f t="shared" si="0"/>
        <v>317820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67252</v>
      </c>
      <c r="G208" s="18">
        <v>31970</v>
      </c>
      <c r="H208" s="18">
        <v>51546</v>
      </c>
      <c r="I208" s="18">
        <v>29331</v>
      </c>
      <c r="J208" s="18"/>
      <c r="K208" s="18">
        <v>1186</v>
      </c>
      <c r="L208" s="19">
        <f t="shared" si="0"/>
        <v>181285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12690</v>
      </c>
      <c r="I209" s="18">
        <v>2883</v>
      </c>
      <c r="J209" s="18">
        <v>10471</v>
      </c>
      <c r="K209" s="18"/>
      <c r="L209" s="19">
        <f>SUM(F209:K209)</f>
        <v>26044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1781021</v>
      </c>
      <c r="G211" s="41">
        <f t="shared" si="1"/>
        <v>814439</v>
      </c>
      <c r="H211" s="41">
        <f t="shared" si="1"/>
        <v>983994</v>
      </c>
      <c r="I211" s="41">
        <f t="shared" si="1"/>
        <v>159247</v>
      </c>
      <c r="J211" s="41">
        <f t="shared" si="1"/>
        <v>24168</v>
      </c>
      <c r="K211" s="41">
        <f t="shared" si="1"/>
        <v>4091</v>
      </c>
      <c r="L211" s="41">
        <f t="shared" si="1"/>
        <v>3766960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432298</v>
      </c>
      <c r="G215" s="18">
        <v>212658</v>
      </c>
      <c r="H215" s="18">
        <v>13153</v>
      </c>
      <c r="I215" s="18">
        <v>12129</v>
      </c>
      <c r="J215" s="18">
        <v>3488</v>
      </c>
      <c r="K215" s="18">
        <v>80</v>
      </c>
      <c r="L215" s="19">
        <f>SUM(F215:K215)</f>
        <v>673806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170911</v>
      </c>
      <c r="G216" s="18">
        <v>110655</v>
      </c>
      <c r="H216" s="18">
        <v>124882</v>
      </c>
      <c r="I216" s="18">
        <v>1448</v>
      </c>
      <c r="J216" s="18"/>
      <c r="K216" s="18"/>
      <c r="L216" s="19">
        <f>SUM(F216:K216)</f>
        <v>407896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46726</v>
      </c>
      <c r="G218" s="18">
        <v>13633</v>
      </c>
      <c r="H218" s="18">
        <v>2606</v>
      </c>
      <c r="I218" s="18">
        <v>2438</v>
      </c>
      <c r="J218" s="18">
        <v>2418</v>
      </c>
      <c r="K218" s="18">
        <v>600</v>
      </c>
      <c r="L218" s="19">
        <f>SUM(F218:K218)</f>
        <v>68421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70284</v>
      </c>
      <c r="G220" s="18">
        <v>41044</v>
      </c>
      <c r="H220" s="18">
        <v>1045</v>
      </c>
      <c r="I220" s="18">
        <v>653</v>
      </c>
      <c r="J220" s="18"/>
      <c r="K220" s="18">
        <v>40</v>
      </c>
      <c r="L220" s="19">
        <f t="shared" ref="L220:L226" si="2">SUM(F220:K220)</f>
        <v>113066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25629</v>
      </c>
      <c r="G221" s="18">
        <v>12197</v>
      </c>
      <c r="H221" s="18">
        <v>1498</v>
      </c>
      <c r="I221" s="18">
        <v>2178</v>
      </c>
      <c r="J221" s="18"/>
      <c r="K221" s="18"/>
      <c r="L221" s="19">
        <f t="shared" si="2"/>
        <v>41502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2973</v>
      </c>
      <c r="G222" s="18">
        <v>243</v>
      </c>
      <c r="H222" s="18">
        <v>107993</v>
      </c>
      <c r="I222" s="18"/>
      <c r="J222" s="18"/>
      <c r="K222" s="18">
        <v>656</v>
      </c>
      <c r="L222" s="19">
        <f t="shared" si="2"/>
        <v>111865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74326</v>
      </c>
      <c r="G223" s="18">
        <v>39590</v>
      </c>
      <c r="H223" s="18">
        <v>4954</v>
      </c>
      <c r="I223" s="18">
        <v>3946</v>
      </c>
      <c r="J223" s="18">
        <v>266</v>
      </c>
      <c r="K223" s="18">
        <v>333</v>
      </c>
      <c r="L223" s="19">
        <f t="shared" si="2"/>
        <v>123415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45167</v>
      </c>
      <c r="G225" s="18">
        <v>21840</v>
      </c>
      <c r="H225" s="18">
        <v>42217</v>
      </c>
      <c r="I225" s="18">
        <v>60349</v>
      </c>
      <c r="J225" s="18">
        <v>896</v>
      </c>
      <c r="K225" s="18">
        <v>87</v>
      </c>
      <c r="L225" s="19">
        <f t="shared" si="2"/>
        <v>170556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48520</v>
      </c>
      <c r="G226" s="18">
        <v>21099</v>
      </c>
      <c r="H226" s="18">
        <v>27112</v>
      </c>
      <c r="I226" s="18">
        <v>18014</v>
      </c>
      <c r="J226" s="18"/>
      <c r="K226" s="18">
        <v>977</v>
      </c>
      <c r="L226" s="19">
        <f t="shared" si="2"/>
        <v>115722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>
        <v>6558</v>
      </c>
      <c r="I227" s="18">
        <v>411</v>
      </c>
      <c r="J227" s="18">
        <v>2098</v>
      </c>
      <c r="K227" s="18"/>
      <c r="L227" s="19">
        <f>SUM(F227:K227)</f>
        <v>9067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916834</v>
      </c>
      <c r="G229" s="41">
        <f>SUM(G215:G228)</f>
        <v>472959</v>
      </c>
      <c r="H229" s="41">
        <f>SUM(H215:H228)</f>
        <v>332018</v>
      </c>
      <c r="I229" s="41">
        <f>SUM(I215:I228)</f>
        <v>101566</v>
      </c>
      <c r="J229" s="41">
        <f>SUM(J215:J228)</f>
        <v>9166</v>
      </c>
      <c r="K229" s="41">
        <f t="shared" si="3"/>
        <v>2773</v>
      </c>
      <c r="L229" s="41">
        <f t="shared" si="3"/>
        <v>1835316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694140</v>
      </c>
      <c r="G233" s="18">
        <v>299550</v>
      </c>
      <c r="H233" s="18">
        <v>24459</v>
      </c>
      <c r="I233" s="18">
        <v>23756</v>
      </c>
      <c r="J233" s="18">
        <v>8264</v>
      </c>
      <c r="K233" s="18">
        <v>413</v>
      </c>
      <c r="L233" s="19">
        <f>SUM(F233:K233)</f>
        <v>1050582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280624</v>
      </c>
      <c r="G234" s="18">
        <v>164447</v>
      </c>
      <c r="H234" s="18">
        <v>136083</v>
      </c>
      <c r="I234" s="18">
        <v>1650</v>
      </c>
      <c r="J234" s="18">
        <v>614</v>
      </c>
      <c r="K234" s="18"/>
      <c r="L234" s="19">
        <f>SUM(F234:K234)</f>
        <v>583418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43846</v>
      </c>
      <c r="G235" s="18">
        <v>14992</v>
      </c>
      <c r="H235" s="18">
        <v>20159</v>
      </c>
      <c r="I235" s="18"/>
      <c r="J235" s="18"/>
      <c r="K235" s="18"/>
      <c r="L235" s="19">
        <f>SUM(F235:K235)</f>
        <v>78997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39876</v>
      </c>
      <c r="G236" s="18">
        <v>7974</v>
      </c>
      <c r="H236" s="18">
        <v>15801</v>
      </c>
      <c r="I236" s="18">
        <v>5428</v>
      </c>
      <c r="J236" s="18">
        <v>8000</v>
      </c>
      <c r="K236" s="18">
        <v>2175</v>
      </c>
      <c r="L236" s="19">
        <f>SUM(F236:K236)</f>
        <v>79254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105268</v>
      </c>
      <c r="G238" s="18">
        <v>61437</v>
      </c>
      <c r="H238" s="18">
        <v>8159</v>
      </c>
      <c r="I238" s="18">
        <v>1280</v>
      </c>
      <c r="J238" s="18"/>
      <c r="K238" s="18">
        <v>40</v>
      </c>
      <c r="L238" s="19">
        <f t="shared" ref="L238:L244" si="4">SUM(F238:K238)</f>
        <v>176184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38443</v>
      </c>
      <c r="G239" s="18">
        <v>27368</v>
      </c>
      <c r="H239" s="18">
        <v>4336</v>
      </c>
      <c r="I239" s="18">
        <v>6076</v>
      </c>
      <c r="J239" s="18"/>
      <c r="K239" s="18"/>
      <c r="L239" s="19">
        <f t="shared" si="4"/>
        <v>76223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4079</v>
      </c>
      <c r="G240" s="18">
        <v>334</v>
      </c>
      <c r="H240" s="18">
        <v>148184</v>
      </c>
      <c r="I240" s="18"/>
      <c r="J240" s="18"/>
      <c r="K240" s="18">
        <v>899</v>
      </c>
      <c r="L240" s="19">
        <f t="shared" si="4"/>
        <v>153496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109423</v>
      </c>
      <c r="G241" s="18">
        <v>58021</v>
      </c>
      <c r="H241" s="18">
        <v>8069</v>
      </c>
      <c r="I241" s="18">
        <v>5990</v>
      </c>
      <c r="J241" s="18">
        <v>69</v>
      </c>
      <c r="K241" s="18">
        <v>15583</v>
      </c>
      <c r="L241" s="19">
        <f t="shared" si="4"/>
        <v>197155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61976</v>
      </c>
      <c r="G243" s="18">
        <v>29969</v>
      </c>
      <c r="H243" s="18">
        <v>57928</v>
      </c>
      <c r="I243" s="18">
        <v>82808</v>
      </c>
      <c r="J243" s="18">
        <v>1229</v>
      </c>
      <c r="K243" s="18">
        <v>120</v>
      </c>
      <c r="L243" s="19">
        <f t="shared" si="4"/>
        <v>234030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88064</v>
      </c>
      <c r="G244" s="18">
        <v>32967</v>
      </c>
      <c r="H244" s="18">
        <v>37585</v>
      </c>
      <c r="I244" s="18">
        <v>24714</v>
      </c>
      <c r="J244" s="18"/>
      <c r="K244" s="18">
        <v>1341</v>
      </c>
      <c r="L244" s="19">
        <f t="shared" si="4"/>
        <v>184671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9361</v>
      </c>
      <c r="I245" s="18">
        <v>563</v>
      </c>
      <c r="J245" s="18">
        <v>2879</v>
      </c>
      <c r="K245" s="18"/>
      <c r="L245" s="19">
        <f>SUM(F245:K245)</f>
        <v>12803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1465739</v>
      </c>
      <c r="G247" s="41">
        <f t="shared" si="5"/>
        <v>697059</v>
      </c>
      <c r="H247" s="41">
        <f t="shared" si="5"/>
        <v>470124</v>
      </c>
      <c r="I247" s="41">
        <f t="shared" si="5"/>
        <v>152265</v>
      </c>
      <c r="J247" s="41">
        <f t="shared" si="5"/>
        <v>21055</v>
      </c>
      <c r="K247" s="41">
        <f t="shared" si="5"/>
        <v>20571</v>
      </c>
      <c r="L247" s="41">
        <f t="shared" si="5"/>
        <v>2826813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4163594</v>
      </c>
      <c r="G257" s="41">
        <f t="shared" si="8"/>
        <v>1984457</v>
      </c>
      <c r="H257" s="41">
        <f t="shared" si="8"/>
        <v>1786136</v>
      </c>
      <c r="I257" s="41">
        <f t="shared" si="8"/>
        <v>413078</v>
      </c>
      <c r="J257" s="41">
        <f t="shared" si="8"/>
        <v>54389</v>
      </c>
      <c r="K257" s="41">
        <f t="shared" si="8"/>
        <v>27435</v>
      </c>
      <c r="L257" s="41">
        <f t="shared" si="8"/>
        <v>8429089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275000</v>
      </c>
      <c r="L260" s="19">
        <f>SUM(F260:K260)</f>
        <v>275000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92331</v>
      </c>
      <c r="L261" s="19">
        <f>SUM(F261:K261)</f>
        <v>92331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76042</v>
      </c>
      <c r="L263" s="19">
        <f>SUM(F263:K263)</f>
        <v>76042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50000+25000+30000</f>
        <v>105000</v>
      </c>
      <c r="L266" s="19">
        <f t="shared" si="9"/>
        <v>105000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548373</v>
      </c>
      <c r="L270" s="41">
        <f t="shared" si="9"/>
        <v>548373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4163594</v>
      </c>
      <c r="G271" s="42">
        <f t="shared" si="11"/>
        <v>1984457</v>
      </c>
      <c r="H271" s="42">
        <f t="shared" si="11"/>
        <v>1786136</v>
      </c>
      <c r="I271" s="42">
        <f t="shared" si="11"/>
        <v>413078</v>
      </c>
      <c r="J271" s="42">
        <f t="shared" si="11"/>
        <v>54389</v>
      </c>
      <c r="K271" s="42">
        <f t="shared" si="11"/>
        <v>575808</v>
      </c>
      <c r="L271" s="42">
        <f t="shared" si="11"/>
        <v>8977462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47102</v>
      </c>
      <c r="G276" s="18">
        <v>19203</v>
      </c>
      <c r="H276" s="18">
        <v>5883</v>
      </c>
      <c r="I276" s="18">
        <v>11493</v>
      </c>
      <c r="J276" s="18">
        <v>13809</v>
      </c>
      <c r="K276" s="18"/>
      <c r="L276" s="19">
        <f>SUM(F276:K276)</f>
        <v>97490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1750</v>
      </c>
      <c r="G277" s="18">
        <v>380</v>
      </c>
      <c r="H277" s="18"/>
      <c r="I277" s="18"/>
      <c r="J277" s="18"/>
      <c r="K277" s="18"/>
      <c r="L277" s="19">
        <f>SUM(F277:K277)</f>
        <v>2130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2987</v>
      </c>
      <c r="G281" s="18">
        <v>651</v>
      </c>
      <c r="H281" s="18"/>
      <c r="I281" s="18"/>
      <c r="J281" s="18"/>
      <c r="K281" s="18"/>
      <c r="L281" s="19">
        <f t="shared" ref="L281:L287" si="12">SUM(F281:K281)</f>
        <v>3638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5952</v>
      </c>
      <c r="G282" s="18">
        <v>1186</v>
      </c>
      <c r="H282" s="18">
        <v>29139</v>
      </c>
      <c r="I282" s="18">
        <v>2093</v>
      </c>
      <c r="J282" s="18"/>
      <c r="K282" s="18"/>
      <c r="L282" s="19">
        <f t="shared" si="12"/>
        <v>38370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768</v>
      </c>
      <c r="L283" s="19">
        <f t="shared" si="12"/>
        <v>768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8714</v>
      </c>
      <c r="L285" s="19">
        <f t="shared" si="12"/>
        <v>8714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503</v>
      </c>
      <c r="I287" s="18"/>
      <c r="J287" s="18"/>
      <c r="K287" s="18"/>
      <c r="L287" s="19">
        <f t="shared" si="12"/>
        <v>503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57791</v>
      </c>
      <c r="G290" s="42">
        <f t="shared" si="13"/>
        <v>21420</v>
      </c>
      <c r="H290" s="42">
        <f t="shared" si="13"/>
        <v>35525</v>
      </c>
      <c r="I290" s="42">
        <f t="shared" si="13"/>
        <v>13586</v>
      </c>
      <c r="J290" s="42">
        <f t="shared" si="13"/>
        <v>13809</v>
      </c>
      <c r="K290" s="42">
        <f t="shared" si="13"/>
        <v>9482</v>
      </c>
      <c r="L290" s="41">
        <f t="shared" si="13"/>
        <v>151613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69279</v>
      </c>
      <c r="G295" s="18">
        <v>18104</v>
      </c>
      <c r="H295" s="18">
        <v>7832</v>
      </c>
      <c r="I295" s="18">
        <v>21063</v>
      </c>
      <c r="J295" s="18">
        <v>6729</v>
      </c>
      <c r="K295" s="18"/>
      <c r="L295" s="19">
        <f>SUM(F295:K295)</f>
        <v>123007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904</v>
      </c>
      <c r="G296" s="18">
        <v>196</v>
      </c>
      <c r="H296" s="18"/>
      <c r="I296" s="18"/>
      <c r="J296" s="18"/>
      <c r="K296" s="18"/>
      <c r="L296" s="19">
        <f>SUM(F296:K296)</f>
        <v>1100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1500</v>
      </c>
      <c r="G300" s="18">
        <v>327</v>
      </c>
      <c r="H300" s="18"/>
      <c r="I300" s="18"/>
      <c r="J300" s="18"/>
      <c r="K300" s="18"/>
      <c r="L300" s="19">
        <f t="shared" ref="L300:L306" si="14">SUM(F300:K300)</f>
        <v>1827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19485</v>
      </c>
      <c r="G301" s="18">
        <v>5813</v>
      </c>
      <c r="H301" s="18">
        <v>36264</v>
      </c>
      <c r="I301" s="18">
        <v>59</v>
      </c>
      <c r="J301" s="18"/>
      <c r="K301" s="18"/>
      <c r="L301" s="19">
        <f t="shared" si="14"/>
        <v>61621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>
        <v>78</v>
      </c>
      <c r="L302" s="19">
        <f t="shared" si="14"/>
        <v>78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>
        <v>5803</v>
      </c>
      <c r="L304" s="19">
        <f t="shared" si="14"/>
        <v>5803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260</v>
      </c>
      <c r="I306" s="18"/>
      <c r="J306" s="18"/>
      <c r="K306" s="18"/>
      <c r="L306" s="19">
        <f t="shared" si="14"/>
        <v>260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91168</v>
      </c>
      <c r="G309" s="42">
        <f t="shared" si="15"/>
        <v>24440</v>
      </c>
      <c r="H309" s="42">
        <f t="shared" si="15"/>
        <v>44356</v>
      </c>
      <c r="I309" s="42">
        <f t="shared" si="15"/>
        <v>21122</v>
      </c>
      <c r="J309" s="42">
        <f t="shared" si="15"/>
        <v>6729</v>
      </c>
      <c r="K309" s="42">
        <f t="shared" si="15"/>
        <v>5881</v>
      </c>
      <c r="L309" s="41">
        <f t="shared" si="15"/>
        <v>193696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32926</v>
      </c>
      <c r="G314" s="18">
        <v>8188</v>
      </c>
      <c r="H314" s="18">
        <v>6293</v>
      </c>
      <c r="I314" s="18">
        <v>10334</v>
      </c>
      <c r="J314" s="18">
        <v>52545</v>
      </c>
      <c r="K314" s="18"/>
      <c r="L314" s="19">
        <f>SUM(F314:K314)</f>
        <v>110286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1241</v>
      </c>
      <c r="G315" s="18">
        <v>269</v>
      </c>
      <c r="H315" s="18"/>
      <c r="I315" s="18"/>
      <c r="J315" s="18"/>
      <c r="K315" s="18"/>
      <c r="L315" s="19">
        <f>SUM(F315:K315)</f>
        <v>1510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1500</v>
      </c>
      <c r="G319" s="18">
        <v>327</v>
      </c>
      <c r="H319" s="18"/>
      <c r="I319" s="18"/>
      <c r="J319" s="18"/>
      <c r="K319" s="18"/>
      <c r="L319" s="19">
        <f t="shared" ref="L319:L325" si="16">SUM(F319:K319)</f>
        <v>1827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4143</v>
      </c>
      <c r="G320" s="18">
        <v>900</v>
      </c>
      <c r="H320" s="18">
        <v>58111</v>
      </c>
      <c r="I320" s="18">
        <v>81</v>
      </c>
      <c r="J320" s="18"/>
      <c r="K320" s="18"/>
      <c r="L320" s="19">
        <f t="shared" si="16"/>
        <v>63235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>
        <v>108</v>
      </c>
      <c r="L321" s="19">
        <f t="shared" si="16"/>
        <v>108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v>7808</v>
      </c>
      <c r="L323" s="19">
        <f t="shared" si="16"/>
        <v>7808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357</v>
      </c>
      <c r="I325" s="18"/>
      <c r="J325" s="18"/>
      <c r="K325" s="18"/>
      <c r="L325" s="19">
        <f t="shared" si="16"/>
        <v>357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39810</v>
      </c>
      <c r="G328" s="42">
        <f t="shared" si="17"/>
        <v>9684</v>
      </c>
      <c r="H328" s="42">
        <f t="shared" si="17"/>
        <v>64761</v>
      </c>
      <c r="I328" s="42">
        <f t="shared" si="17"/>
        <v>10415</v>
      </c>
      <c r="J328" s="42">
        <f t="shared" si="17"/>
        <v>52545</v>
      </c>
      <c r="K328" s="42">
        <f t="shared" si="17"/>
        <v>7916</v>
      </c>
      <c r="L328" s="41">
        <f t="shared" si="17"/>
        <v>185131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>
        <v>127</v>
      </c>
      <c r="J335" s="18"/>
      <c r="K335" s="18"/>
      <c r="L335" s="19">
        <f t="shared" si="18"/>
        <v>127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127</v>
      </c>
      <c r="J337" s="41">
        <f t="shared" si="19"/>
        <v>0</v>
      </c>
      <c r="K337" s="41">
        <f t="shared" si="19"/>
        <v>0</v>
      </c>
      <c r="L337" s="41">
        <f t="shared" si="18"/>
        <v>127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188769</v>
      </c>
      <c r="G338" s="41">
        <f t="shared" si="20"/>
        <v>55544</v>
      </c>
      <c r="H338" s="41">
        <f t="shared" si="20"/>
        <v>144642</v>
      </c>
      <c r="I338" s="41">
        <f t="shared" si="20"/>
        <v>45250</v>
      </c>
      <c r="J338" s="41">
        <f t="shared" si="20"/>
        <v>73083</v>
      </c>
      <c r="K338" s="41">
        <f t="shared" si="20"/>
        <v>23279</v>
      </c>
      <c r="L338" s="41">
        <f t="shared" si="20"/>
        <v>530567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188769</v>
      </c>
      <c r="G352" s="41">
        <f>G338</f>
        <v>55544</v>
      </c>
      <c r="H352" s="41">
        <f>H338</f>
        <v>144642</v>
      </c>
      <c r="I352" s="41">
        <f>I338</f>
        <v>45250</v>
      </c>
      <c r="J352" s="41">
        <f>J338</f>
        <v>73083</v>
      </c>
      <c r="K352" s="47">
        <f>K338+K351</f>
        <v>23279</v>
      </c>
      <c r="L352" s="41">
        <f>L338+L351</f>
        <v>530567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61301</v>
      </c>
      <c r="G358" s="18">
        <f>13253+5698+3628</f>
        <v>22579</v>
      </c>
      <c r="H358" s="18">
        <f>1982</f>
        <v>1982</v>
      </c>
      <c r="I358" s="18">
        <v>39335</v>
      </c>
      <c r="J358" s="18"/>
      <c r="K358" s="18"/>
      <c r="L358" s="13">
        <f>SUM(F358:K358)</f>
        <v>125197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31676</v>
      </c>
      <c r="G359" s="18">
        <f>6848+2945+1874</f>
        <v>11667</v>
      </c>
      <c r="H359" s="18">
        <v>1024</v>
      </c>
      <c r="I359" s="18">
        <v>20036</v>
      </c>
      <c r="J359" s="18"/>
      <c r="K359" s="18"/>
      <c r="L359" s="19">
        <f>SUM(F359:K359)</f>
        <v>64403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43464</v>
      </c>
      <c r="G360" s="18">
        <v>16012</v>
      </c>
      <c r="H360" s="18">
        <v>1405</v>
      </c>
      <c r="I360" s="18">
        <v>27572</v>
      </c>
      <c r="J360" s="18"/>
      <c r="K360" s="18"/>
      <c r="L360" s="19">
        <f>SUM(F360:K360)</f>
        <v>88453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136441</v>
      </c>
      <c r="G362" s="47">
        <f t="shared" si="22"/>
        <v>50258</v>
      </c>
      <c r="H362" s="47">
        <f t="shared" si="22"/>
        <v>4411</v>
      </c>
      <c r="I362" s="47">
        <f t="shared" si="22"/>
        <v>86943</v>
      </c>
      <c r="J362" s="47">
        <f t="shared" si="22"/>
        <v>0</v>
      </c>
      <c r="K362" s="47">
        <f t="shared" si="22"/>
        <v>0</v>
      </c>
      <c r="L362" s="47">
        <f t="shared" si="22"/>
        <v>278053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38429</v>
      </c>
      <c r="G367" s="18">
        <v>19568</v>
      </c>
      <c r="H367" s="18">
        <v>26929</v>
      </c>
      <c r="I367" s="56">
        <f>SUM(F367:H367)</f>
        <v>84926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906</v>
      </c>
      <c r="G368" s="63">
        <v>468</v>
      </c>
      <c r="H368" s="63">
        <v>643</v>
      </c>
      <c r="I368" s="56">
        <f>SUM(F368:H368)</f>
        <v>2017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39335</v>
      </c>
      <c r="G369" s="47">
        <f>SUM(G367:G368)</f>
        <v>20036</v>
      </c>
      <c r="H369" s="47">
        <f>SUM(H367:H368)</f>
        <v>27572</v>
      </c>
      <c r="I369" s="47">
        <f>SUM(I367:I368)</f>
        <v>86943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105000</v>
      </c>
      <c r="H390" s="18">
        <v>790</v>
      </c>
      <c r="I390" s="18"/>
      <c r="J390" s="24" t="s">
        <v>289</v>
      </c>
      <c r="K390" s="24" t="s">
        <v>289</v>
      </c>
      <c r="L390" s="56">
        <f t="shared" si="25"/>
        <v>105790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105000</v>
      </c>
      <c r="H393" s="139">
        <f>SUM(H387:H392)</f>
        <v>790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105790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105000</v>
      </c>
      <c r="H408" s="47">
        <f>H393+H401+H407</f>
        <v>790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105790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206298</v>
      </c>
      <c r="H440" s="18"/>
      <c r="I440" s="56">
        <f t="shared" si="33"/>
        <v>206298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206298</v>
      </c>
      <c r="H446" s="13">
        <f>SUM(H439:H445)</f>
        <v>0</v>
      </c>
      <c r="I446" s="13">
        <f>SUM(I439:I445)</f>
        <v>206298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206298</v>
      </c>
      <c r="H459" s="18"/>
      <c r="I459" s="56">
        <f t="shared" si="34"/>
        <v>206298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206298</v>
      </c>
      <c r="H460" s="83">
        <f>SUM(H454:H459)</f>
        <v>0</v>
      </c>
      <c r="I460" s="83">
        <f>SUM(I454:I459)</f>
        <v>206298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206298</v>
      </c>
      <c r="H461" s="42">
        <f>H452+H460</f>
        <v>0</v>
      </c>
      <c r="I461" s="42">
        <f>I452+I460</f>
        <v>206298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345985</v>
      </c>
      <c r="G465" s="18">
        <v>0</v>
      </c>
      <c r="H465" s="18">
        <v>0</v>
      </c>
      <c r="I465" s="18">
        <v>194338</v>
      </c>
      <c r="J465" s="18">
        <v>100508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9099080</v>
      </c>
      <c r="G468" s="18">
        <f>G193</f>
        <v>278053</v>
      </c>
      <c r="H468" s="18">
        <f>H193</f>
        <v>530567</v>
      </c>
      <c r="I468" s="18"/>
      <c r="J468" s="18">
        <v>105790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9099080</v>
      </c>
      <c r="G470" s="53">
        <f>SUM(G468:G469)</f>
        <v>278053</v>
      </c>
      <c r="H470" s="53">
        <f>SUM(H468:H469)</f>
        <v>530567</v>
      </c>
      <c r="I470" s="53">
        <f>SUM(I468:I469)</f>
        <v>0</v>
      </c>
      <c r="J470" s="53">
        <f>SUM(J468:J469)</f>
        <v>105790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8977462</v>
      </c>
      <c r="G472" s="18">
        <f>L362</f>
        <v>278053</v>
      </c>
      <c r="H472" s="18">
        <f>L352</f>
        <v>530567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8977462</v>
      </c>
      <c r="G474" s="53">
        <f>SUM(G472:G473)</f>
        <v>278053</v>
      </c>
      <c r="H474" s="53">
        <f>SUM(H472:H473)</f>
        <v>530567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467603</v>
      </c>
      <c r="G476" s="53">
        <f>(G465+G470)- G474</f>
        <v>0</v>
      </c>
      <c r="H476" s="53">
        <f>(H465+H470)- H474</f>
        <v>0</v>
      </c>
      <c r="I476" s="53">
        <f>(I465+I470)- I474</f>
        <v>194338</v>
      </c>
      <c r="J476" s="53">
        <f>(J465+J470)- J474</f>
        <v>206298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4097790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2175000</v>
      </c>
      <c r="G495" s="18"/>
      <c r="H495" s="18"/>
      <c r="I495" s="18"/>
      <c r="J495" s="18"/>
      <c r="K495" s="53">
        <f>SUM(F495:J495)</f>
        <v>2175000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275000</v>
      </c>
      <c r="G497" s="18"/>
      <c r="H497" s="18"/>
      <c r="I497" s="18"/>
      <c r="J497" s="18"/>
      <c r="K497" s="53">
        <f t="shared" si="35"/>
        <v>275000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1900000</v>
      </c>
      <c r="G498" s="204"/>
      <c r="H498" s="204"/>
      <c r="I498" s="204"/>
      <c r="J498" s="204"/>
      <c r="K498" s="205">
        <f t="shared" si="35"/>
        <v>1900000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375244-92331</f>
        <v>282913</v>
      </c>
      <c r="G499" s="18"/>
      <c r="H499" s="18"/>
      <c r="I499" s="18"/>
      <c r="J499" s="18"/>
      <c r="K499" s="53">
        <f t="shared" si="35"/>
        <v>282913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2182913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2182913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275000</v>
      </c>
      <c r="G501" s="204"/>
      <c r="H501" s="204"/>
      <c r="I501" s="204"/>
      <c r="J501" s="204"/>
      <c r="K501" s="205">
        <f t="shared" si="35"/>
        <v>275000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91565</v>
      </c>
      <c r="G502" s="18"/>
      <c r="H502" s="18"/>
      <c r="I502" s="18"/>
      <c r="J502" s="18"/>
      <c r="K502" s="53">
        <f t="shared" si="35"/>
        <v>91565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366565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366565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369141</v>
      </c>
      <c r="G521" s="18">
        <v>177281</v>
      </c>
      <c r="H521" s="18">
        <v>280045</v>
      </c>
      <c r="I521" s="18">
        <v>567</v>
      </c>
      <c r="J521" s="18"/>
      <c r="K521" s="18"/>
      <c r="L521" s="88">
        <f>SUM(F521:K521)</f>
        <v>827034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170911</v>
      </c>
      <c r="G522" s="18">
        <v>110655</v>
      </c>
      <c r="H522" s="18">
        <v>122582</v>
      </c>
      <c r="I522" s="18">
        <v>1448</v>
      </c>
      <c r="J522" s="18"/>
      <c r="K522" s="18"/>
      <c r="L522" s="88">
        <f>SUM(F522:K522)</f>
        <v>405596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280624</v>
      </c>
      <c r="G523" s="18">
        <v>164447</v>
      </c>
      <c r="H523" s="18">
        <v>118414</v>
      </c>
      <c r="I523" s="18">
        <v>1650</v>
      </c>
      <c r="J523" s="18"/>
      <c r="K523" s="18">
        <v>614</v>
      </c>
      <c r="L523" s="88">
        <f>SUM(F523:K523)</f>
        <v>565749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820676</v>
      </c>
      <c r="G524" s="108">
        <f t="shared" ref="G524:L524" si="36">SUM(G521:G523)</f>
        <v>452383</v>
      </c>
      <c r="H524" s="108">
        <f t="shared" si="36"/>
        <v>521041</v>
      </c>
      <c r="I524" s="108">
        <f t="shared" si="36"/>
        <v>3665</v>
      </c>
      <c r="J524" s="108">
        <f t="shared" si="36"/>
        <v>0</v>
      </c>
      <c r="K524" s="108">
        <f t="shared" si="36"/>
        <v>614</v>
      </c>
      <c r="L524" s="89">
        <f t="shared" si="36"/>
        <v>1798379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281158</v>
      </c>
      <c r="I526" s="18"/>
      <c r="J526" s="18"/>
      <c r="K526" s="18"/>
      <c r="L526" s="88">
        <f>SUM(F526:K526)</f>
        <v>281158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2300</v>
      </c>
      <c r="I527" s="18"/>
      <c r="J527" s="18"/>
      <c r="K527" s="18"/>
      <c r="L527" s="88">
        <f>SUM(F527:K527)</f>
        <v>2300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17669</v>
      </c>
      <c r="I528" s="18"/>
      <c r="J528" s="18"/>
      <c r="K528" s="18"/>
      <c r="L528" s="88">
        <f>SUM(F528:K528)</f>
        <v>17669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301127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301127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19447</v>
      </c>
      <c r="G531" s="18">
        <v>8553</v>
      </c>
      <c r="H531" s="18">
        <v>3367</v>
      </c>
      <c r="I531" s="18">
        <v>653</v>
      </c>
      <c r="J531" s="18">
        <v>41</v>
      </c>
      <c r="K531" s="18">
        <v>216</v>
      </c>
      <c r="L531" s="88">
        <f>SUM(F531:K531)</f>
        <v>32277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8689</v>
      </c>
      <c r="G532" s="18">
        <v>3822</v>
      </c>
      <c r="H532" s="18">
        <v>1500</v>
      </c>
      <c r="I532" s="18">
        <v>292</v>
      </c>
      <c r="J532" s="18">
        <v>19</v>
      </c>
      <c r="K532" s="18">
        <v>97</v>
      </c>
      <c r="L532" s="88">
        <f>SUM(F532:K532)</f>
        <v>14419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13240</v>
      </c>
      <c r="G533" s="18">
        <v>5822</v>
      </c>
      <c r="H533" s="18">
        <v>2275</v>
      </c>
      <c r="I533" s="18">
        <v>444</v>
      </c>
      <c r="J533" s="18">
        <v>28</v>
      </c>
      <c r="K533" s="18">
        <v>147</v>
      </c>
      <c r="L533" s="88">
        <f>SUM(F533:K533)</f>
        <v>21956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41376</v>
      </c>
      <c r="G534" s="89">
        <f t="shared" ref="G534:L534" si="38">SUM(G531:G533)</f>
        <v>18197</v>
      </c>
      <c r="H534" s="89">
        <f t="shared" si="38"/>
        <v>7142</v>
      </c>
      <c r="I534" s="89">
        <f t="shared" si="38"/>
        <v>1389</v>
      </c>
      <c r="J534" s="89">
        <f t="shared" si="38"/>
        <v>88</v>
      </c>
      <c r="K534" s="89">
        <f t="shared" si="38"/>
        <v>460</v>
      </c>
      <c r="L534" s="89">
        <f t="shared" si="38"/>
        <v>68652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23656</v>
      </c>
      <c r="G541" s="18">
        <v>11960</v>
      </c>
      <c r="H541" s="18">
        <v>17299</v>
      </c>
      <c r="I541" s="18">
        <v>12026</v>
      </c>
      <c r="J541" s="18"/>
      <c r="K541" s="18">
        <v>486</v>
      </c>
      <c r="L541" s="88">
        <f>SUM(F541:K541)</f>
        <v>65427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14873</v>
      </c>
      <c r="G542" s="18">
        <v>8124</v>
      </c>
      <c r="H542" s="18">
        <v>10371</v>
      </c>
      <c r="I542" s="18">
        <v>7386</v>
      </c>
      <c r="J542" s="18"/>
      <c r="K542" s="18">
        <v>402</v>
      </c>
      <c r="L542" s="88">
        <f>SUM(F542:K542)</f>
        <v>41156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20405</v>
      </c>
      <c r="G543" s="18">
        <v>12112</v>
      </c>
      <c r="H543" s="18">
        <v>15756</v>
      </c>
      <c r="I543" s="18">
        <v>11220</v>
      </c>
      <c r="J543" s="18"/>
      <c r="K543" s="18">
        <v>609</v>
      </c>
      <c r="L543" s="88">
        <f>SUM(F543:K543)</f>
        <v>60102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58934</v>
      </c>
      <c r="G544" s="193">
        <f t="shared" ref="G544:L544" si="40">SUM(G541:G543)</f>
        <v>32196</v>
      </c>
      <c r="H544" s="193">
        <f t="shared" si="40"/>
        <v>43426</v>
      </c>
      <c r="I544" s="193">
        <f t="shared" si="40"/>
        <v>30632</v>
      </c>
      <c r="J544" s="193">
        <f t="shared" si="40"/>
        <v>0</v>
      </c>
      <c r="K544" s="193">
        <f t="shared" si="40"/>
        <v>1497</v>
      </c>
      <c r="L544" s="193">
        <f t="shared" si="40"/>
        <v>166685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920986</v>
      </c>
      <c r="G545" s="89">
        <f t="shared" ref="G545:L545" si="41">G524+G529+G534+G539+G544</f>
        <v>502776</v>
      </c>
      <c r="H545" s="89">
        <f t="shared" si="41"/>
        <v>872736</v>
      </c>
      <c r="I545" s="89">
        <f t="shared" si="41"/>
        <v>35686</v>
      </c>
      <c r="J545" s="89">
        <f t="shared" si="41"/>
        <v>88</v>
      </c>
      <c r="K545" s="89">
        <f t="shared" si="41"/>
        <v>2571</v>
      </c>
      <c r="L545" s="89">
        <f t="shared" si="41"/>
        <v>2334843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827034</v>
      </c>
      <c r="G549" s="87">
        <f>L526</f>
        <v>281158</v>
      </c>
      <c r="H549" s="87">
        <f>L531</f>
        <v>32277</v>
      </c>
      <c r="I549" s="87">
        <f>L536</f>
        <v>0</v>
      </c>
      <c r="J549" s="87">
        <f>L541</f>
        <v>65427</v>
      </c>
      <c r="K549" s="87">
        <f>SUM(F549:J549)</f>
        <v>1205896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405596</v>
      </c>
      <c r="G550" s="87">
        <f>L527</f>
        <v>2300</v>
      </c>
      <c r="H550" s="87">
        <f>L532</f>
        <v>14419</v>
      </c>
      <c r="I550" s="87">
        <f>L537</f>
        <v>0</v>
      </c>
      <c r="J550" s="87">
        <f>L542</f>
        <v>41156</v>
      </c>
      <c r="K550" s="87">
        <f>SUM(F550:J550)</f>
        <v>463471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565749</v>
      </c>
      <c r="G551" s="87">
        <f>L528</f>
        <v>17669</v>
      </c>
      <c r="H551" s="87">
        <f>L533</f>
        <v>21956</v>
      </c>
      <c r="I551" s="87">
        <f>L538</f>
        <v>0</v>
      </c>
      <c r="J551" s="87">
        <f>L543</f>
        <v>60102</v>
      </c>
      <c r="K551" s="87">
        <f>SUM(F551:J551)</f>
        <v>665476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1798379</v>
      </c>
      <c r="G552" s="89">
        <f t="shared" si="42"/>
        <v>301127</v>
      </c>
      <c r="H552" s="89">
        <f t="shared" si="42"/>
        <v>68652</v>
      </c>
      <c r="I552" s="89">
        <f t="shared" si="42"/>
        <v>0</v>
      </c>
      <c r="J552" s="89">
        <f t="shared" si="42"/>
        <v>166685</v>
      </c>
      <c r="K552" s="89">
        <f t="shared" si="42"/>
        <v>2334843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10871</v>
      </c>
      <c r="I575" s="87">
        <f>SUM(F575:H575)</f>
        <v>10871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184505</v>
      </c>
      <c r="G579" s="18">
        <v>93547</v>
      </c>
      <c r="H579" s="18">
        <v>3762</v>
      </c>
      <c r="I579" s="87">
        <f t="shared" si="47"/>
        <v>281814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88752</v>
      </c>
      <c r="G582" s="18">
        <v>20382</v>
      </c>
      <c r="H582" s="18">
        <v>112924</v>
      </c>
      <c r="I582" s="87">
        <f t="shared" si="47"/>
        <v>222058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19787</v>
      </c>
      <c r="I584" s="87">
        <f t="shared" si="47"/>
        <v>19787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43596+20010+34247+17305+699+1</f>
        <v>115858</v>
      </c>
      <c r="I591" s="18">
        <f>65787+1</f>
        <v>65788</v>
      </c>
      <c r="J591" s="18">
        <v>86615</v>
      </c>
      <c r="K591" s="104">
        <f t="shared" ref="K591:K597" si="48">SUM(H591:J591)</f>
        <v>268261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65427</v>
      </c>
      <c r="I592" s="18">
        <v>41156</v>
      </c>
      <c r="J592" s="18">
        <v>60102</v>
      </c>
      <c r="K592" s="104">
        <f t="shared" si="48"/>
        <v>166685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21499+1608+373+2041</f>
        <v>25521</v>
      </c>
      <c r="K593" s="104">
        <f t="shared" si="48"/>
        <v>25521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f>2945+220+233+1815</f>
        <v>5213</v>
      </c>
      <c r="J594" s="18">
        <f>4041+302+319+2490</f>
        <v>7152</v>
      </c>
      <c r="K594" s="104">
        <f t="shared" si="48"/>
        <v>12365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>
        <f>3259+243+63</f>
        <v>3565</v>
      </c>
      <c r="J595" s="18">
        <f>4471+333+86+391</f>
        <v>5281</v>
      </c>
      <c r="K595" s="104">
        <f t="shared" si="48"/>
        <v>8846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181285</v>
      </c>
      <c r="I598" s="108">
        <f>SUM(I591:I597)</f>
        <v>115722</v>
      </c>
      <c r="J598" s="108">
        <f>SUM(J591:J597)</f>
        <v>184671</v>
      </c>
      <c r="K598" s="108">
        <f>SUM(K591:K597)</f>
        <v>481678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24168+13809</f>
        <v>37977</v>
      </c>
      <c r="I604" s="18">
        <f>9166+6729</f>
        <v>15895</v>
      </c>
      <c r="J604" s="18">
        <f>21055+52545</f>
        <v>73600</v>
      </c>
      <c r="K604" s="104">
        <f>SUM(H604:J604)</f>
        <v>127472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37977</v>
      </c>
      <c r="I605" s="108">
        <f>SUM(I602:I604)</f>
        <v>15895</v>
      </c>
      <c r="J605" s="108">
        <f>SUM(J602:J604)</f>
        <v>73600</v>
      </c>
      <c r="K605" s="108">
        <f>SUM(K602:K604)</f>
        <v>127472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11980</v>
      </c>
      <c r="G611" s="18">
        <v>4286</v>
      </c>
      <c r="H611" s="18">
        <v>7077</v>
      </c>
      <c r="I611" s="18">
        <v>269</v>
      </c>
      <c r="J611" s="18"/>
      <c r="K611" s="18"/>
      <c r="L611" s="88">
        <f>SUM(F611:K611)</f>
        <v>23612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11980</v>
      </c>
      <c r="G614" s="108">
        <f t="shared" si="49"/>
        <v>4286</v>
      </c>
      <c r="H614" s="108">
        <f t="shared" si="49"/>
        <v>7077</v>
      </c>
      <c r="I614" s="108">
        <f t="shared" si="49"/>
        <v>269</v>
      </c>
      <c r="J614" s="108">
        <f t="shared" si="49"/>
        <v>0</v>
      </c>
      <c r="K614" s="108">
        <f t="shared" si="49"/>
        <v>0</v>
      </c>
      <c r="L614" s="89">
        <f t="shared" si="49"/>
        <v>23612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533179</v>
      </c>
      <c r="H617" s="109">
        <f>SUM(F52)</f>
        <v>533179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15928</v>
      </c>
      <c r="H618" s="109">
        <f>SUM(G52)</f>
        <v>15928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83127</v>
      </c>
      <c r="H619" s="109">
        <f>SUM(H52)</f>
        <v>83127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231640</v>
      </c>
      <c r="H620" s="109">
        <f>SUM(I52)</f>
        <v>231640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206298</v>
      </c>
      <c r="H621" s="109">
        <f>SUM(J52)</f>
        <v>206298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467603</v>
      </c>
      <c r="H622" s="109">
        <f>F476</f>
        <v>467603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194338</v>
      </c>
      <c r="H625" s="109">
        <f>I476</f>
        <v>194338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206298</v>
      </c>
      <c r="H626" s="109">
        <f>J476</f>
        <v>206298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9099080</v>
      </c>
      <c r="H627" s="104">
        <f>SUM(F468)</f>
        <v>9099080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278053</v>
      </c>
      <c r="H628" s="104">
        <f>SUM(G468)</f>
        <v>278053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530567</v>
      </c>
      <c r="H629" s="104">
        <f>SUM(H468)</f>
        <v>530567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105790</v>
      </c>
      <c r="H631" s="104">
        <f>SUM(J468)</f>
        <v>105790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8977462</v>
      </c>
      <c r="H632" s="104">
        <f>SUM(F472)</f>
        <v>8977462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530567</v>
      </c>
      <c r="H633" s="104">
        <f>SUM(H472)</f>
        <v>530567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86943</v>
      </c>
      <c r="H634" s="104">
        <f>I369</f>
        <v>86943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278053</v>
      </c>
      <c r="H635" s="104">
        <f>SUM(G472)</f>
        <v>278053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105790</v>
      </c>
      <c r="H637" s="164">
        <f>SUM(J468)</f>
        <v>105790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206298</v>
      </c>
      <c r="H640" s="104">
        <f>SUM(G461)</f>
        <v>206298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206298</v>
      </c>
      <c r="H642" s="104">
        <f>SUM(I461)</f>
        <v>206298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790</v>
      </c>
      <c r="H644" s="104">
        <f>H408</f>
        <v>790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105000</v>
      </c>
      <c r="H645" s="104">
        <f>G408</f>
        <v>105000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105790</v>
      </c>
      <c r="H646" s="104">
        <f>L408</f>
        <v>105790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481678</v>
      </c>
      <c r="H647" s="104">
        <f>L208+L226+L244</f>
        <v>481678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127472</v>
      </c>
      <c r="H648" s="104">
        <f>(J257+J338)-(J255+J336)</f>
        <v>127472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181285</v>
      </c>
      <c r="H649" s="104">
        <f>H598</f>
        <v>181285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115722</v>
      </c>
      <c r="H650" s="104">
        <f>I598</f>
        <v>115722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184671</v>
      </c>
      <c r="H651" s="104">
        <f>J598</f>
        <v>184671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76042</v>
      </c>
      <c r="H652" s="104">
        <f>K263+K345</f>
        <v>76042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105000</v>
      </c>
      <c r="H655" s="104">
        <f>K266+K347</f>
        <v>105000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4043770</v>
      </c>
      <c r="G660" s="19">
        <f>(L229+L309+L359)</f>
        <v>2093415</v>
      </c>
      <c r="H660" s="19">
        <f>(L247+L328+L360)</f>
        <v>3100397</v>
      </c>
      <c r="I660" s="19">
        <f>SUM(F660:H660)</f>
        <v>9237582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27792.038309243202</v>
      </c>
      <c r="G661" s="19">
        <f>(L359/IF(SUM(L358:L360)=0,1,SUM(L358:L360))*(SUM(G97:G110)))</f>
        <v>14296.593714148023</v>
      </c>
      <c r="H661" s="19">
        <f>(L360/IF(SUM(L358:L360)=0,1,SUM(L358:L360))*(SUM(G97:G110)))</f>
        <v>19635.367976608777</v>
      </c>
      <c r="I661" s="19">
        <f>SUM(F661:H661)</f>
        <v>61724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181788</v>
      </c>
      <c r="G662" s="19">
        <f>(L226+L306)-(J226+J306)</f>
        <v>115982</v>
      </c>
      <c r="H662" s="19">
        <f>(L244+L325)-(J244+J325)</f>
        <v>185028</v>
      </c>
      <c r="I662" s="19">
        <f>SUM(F662:H662)</f>
        <v>482798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334846</v>
      </c>
      <c r="G663" s="199">
        <f>SUM(G575:G587)+SUM(I602:I604)+L612</f>
        <v>129824</v>
      </c>
      <c r="H663" s="199">
        <f>SUM(H575:H587)+SUM(J602:J604)+L613</f>
        <v>220944</v>
      </c>
      <c r="I663" s="19">
        <f>SUM(F663:H663)</f>
        <v>685614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3499343.9616907565</v>
      </c>
      <c r="G664" s="19">
        <f>G660-SUM(G661:G663)</f>
        <v>1833312.406285852</v>
      </c>
      <c r="H664" s="19">
        <f>H660-SUM(H661:H663)</f>
        <v>2674789.6320233913</v>
      </c>
      <c r="I664" s="19">
        <f>I660-SUM(I661:I663)</f>
        <v>8007446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258.86</v>
      </c>
      <c r="G665" s="248">
        <v>133.76</v>
      </c>
      <c r="H665" s="248">
        <v>183.54</v>
      </c>
      <c r="I665" s="19">
        <f>SUM(F665:H665)</f>
        <v>576.16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13518.29</v>
      </c>
      <c r="G667" s="19">
        <f>ROUND(G664/G665,2)</f>
        <v>13705.98</v>
      </c>
      <c r="H667" s="19">
        <f>ROUND(H664/H665,2)</f>
        <v>14573.33</v>
      </c>
      <c r="I667" s="19">
        <f>ROUND(I664/I665,2)</f>
        <v>13897.96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-8.08</v>
      </c>
      <c r="I670" s="19">
        <f>SUM(F670:H670)</f>
        <v>-8.08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13518.29</v>
      </c>
      <c r="G672" s="19">
        <f>ROUND((G664+G669)/(G665+G670),2)</f>
        <v>13705.98</v>
      </c>
      <c r="H672" s="19">
        <f>ROUND((H664+H669)/(H665+H670),2)</f>
        <v>15244.44</v>
      </c>
      <c r="I672" s="19">
        <f>ROUND((I664+I669)/(I665+I670),2)</f>
        <v>14095.63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9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Milton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2220537</v>
      </c>
      <c r="C9" s="229">
        <f>'DOE25'!G197+'DOE25'!G215+'DOE25'!G233+'DOE25'!G276+'DOE25'!G295+'DOE25'!G314</f>
        <v>1005880</v>
      </c>
    </row>
    <row r="10" spans="1:3" x14ac:dyDescent="0.2">
      <c r="A10" t="s">
        <v>779</v>
      </c>
      <c r="B10" s="240">
        <v>2108007</v>
      </c>
      <c r="C10" s="240">
        <v>949135</v>
      </c>
    </row>
    <row r="11" spans="1:3" x14ac:dyDescent="0.2">
      <c r="A11" t="s">
        <v>780</v>
      </c>
      <c r="B11" s="240">
        <v>73619</v>
      </c>
      <c r="C11" s="240">
        <v>40185</v>
      </c>
    </row>
    <row r="12" spans="1:3" x14ac:dyDescent="0.2">
      <c r="A12" t="s">
        <v>781</v>
      </c>
      <c r="B12" s="240">
        <v>38911</v>
      </c>
      <c r="C12" s="240">
        <v>16560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2220537</v>
      </c>
      <c r="C13" s="231">
        <f>SUM(C10:C12)</f>
        <v>1005880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824570</v>
      </c>
      <c r="C18" s="229">
        <f>'DOE25'!G198+'DOE25'!G216+'DOE25'!G234+'DOE25'!G277+'DOE25'!G296+'DOE25'!G315</f>
        <v>453228</v>
      </c>
    </row>
    <row r="19" spans="1:3" x14ac:dyDescent="0.2">
      <c r="A19" t="s">
        <v>779</v>
      </c>
      <c r="B19" s="240">
        <v>327685</v>
      </c>
      <c r="C19" s="240">
        <v>165211</v>
      </c>
    </row>
    <row r="20" spans="1:3" x14ac:dyDescent="0.2">
      <c r="A20" t="s">
        <v>780</v>
      </c>
      <c r="B20" s="240">
        <v>461358</v>
      </c>
      <c r="C20" s="240">
        <v>284803</v>
      </c>
    </row>
    <row r="21" spans="1:3" x14ac:dyDescent="0.2">
      <c r="A21" t="s">
        <v>781</v>
      </c>
      <c r="B21" s="240">
        <v>35527</v>
      </c>
      <c r="C21" s="240">
        <v>3214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824570</v>
      </c>
      <c r="C22" s="231">
        <f>SUM(C19:C21)</f>
        <v>453228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43846</v>
      </c>
      <c r="C27" s="234">
        <f>'DOE25'!G199+'DOE25'!G217+'DOE25'!G235+'DOE25'!G278+'DOE25'!G297+'DOE25'!G316</f>
        <v>14992</v>
      </c>
    </row>
    <row r="28" spans="1:3" x14ac:dyDescent="0.2">
      <c r="A28" t="s">
        <v>779</v>
      </c>
      <c r="B28" s="240">
        <v>43846</v>
      </c>
      <c r="C28" s="240">
        <v>14992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43846</v>
      </c>
      <c r="C31" s="231">
        <f>SUM(C28:C30)</f>
        <v>14992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98582</v>
      </c>
      <c r="C36" s="235">
        <f>'DOE25'!G200+'DOE25'!G218+'DOE25'!G236+'DOE25'!G279+'DOE25'!G298+'DOE25'!G317</f>
        <v>25893</v>
      </c>
    </row>
    <row r="37" spans="1:3" x14ac:dyDescent="0.2">
      <c r="A37" t="s">
        <v>779</v>
      </c>
      <c r="B37" s="240">
        <v>50757</v>
      </c>
      <c r="C37" s="240">
        <v>15582</v>
      </c>
    </row>
    <row r="38" spans="1:3" x14ac:dyDescent="0.2">
      <c r="A38" t="s">
        <v>780</v>
      </c>
      <c r="B38" s="240">
        <v>9125</v>
      </c>
      <c r="C38" s="240">
        <v>3671</v>
      </c>
    </row>
    <row r="39" spans="1:3" x14ac:dyDescent="0.2">
      <c r="A39" t="s">
        <v>781</v>
      </c>
      <c r="B39" s="240">
        <v>38700</v>
      </c>
      <c r="C39" s="240">
        <v>6640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98582</v>
      </c>
      <c r="C40" s="231">
        <f>SUM(C37:C39)</f>
        <v>25893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Milton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5560357</v>
      </c>
      <c r="D5" s="20">
        <f>SUM('DOE25'!L197:L200)+SUM('DOE25'!L215:L218)+SUM('DOE25'!L233:L236)-F5-G5</f>
        <v>5527273</v>
      </c>
      <c r="E5" s="243"/>
      <c r="F5" s="255">
        <f>SUM('DOE25'!J197:J200)+SUM('DOE25'!J215:J218)+SUM('DOE25'!J233:J236)</f>
        <v>29816</v>
      </c>
      <c r="G5" s="53">
        <f>SUM('DOE25'!K197:K200)+SUM('DOE25'!K215:K218)+SUM('DOE25'!K233:K236)</f>
        <v>3268</v>
      </c>
      <c r="H5" s="259"/>
    </row>
    <row r="6" spans="1:9" x14ac:dyDescent="0.2">
      <c r="A6" s="32">
        <v>2100</v>
      </c>
      <c r="B6" t="s">
        <v>801</v>
      </c>
      <c r="C6" s="245">
        <f t="shared" si="0"/>
        <v>409791</v>
      </c>
      <c r="D6" s="20">
        <f>'DOE25'!L202+'DOE25'!L220+'DOE25'!L238-F6-G6</f>
        <v>409542</v>
      </c>
      <c r="E6" s="243"/>
      <c r="F6" s="255">
        <f>'DOE25'!J202+'DOE25'!J220+'DOE25'!J238</f>
        <v>0</v>
      </c>
      <c r="G6" s="53">
        <f>'DOE25'!K202+'DOE25'!K220+'DOE25'!K238</f>
        <v>249</v>
      </c>
      <c r="H6" s="259"/>
    </row>
    <row r="7" spans="1:9" x14ac:dyDescent="0.2">
      <c r="A7" s="32">
        <v>2200</v>
      </c>
      <c r="B7" t="s">
        <v>834</v>
      </c>
      <c r="C7" s="245">
        <f t="shared" si="0"/>
        <v>157959</v>
      </c>
      <c r="D7" s="20">
        <f>'DOE25'!L203+'DOE25'!L221+'DOE25'!L239-F7-G7</f>
        <v>157959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263796</v>
      </c>
      <c r="D8" s="243"/>
      <c r="E8" s="20">
        <f>'DOE25'!L204+'DOE25'!L222+'DOE25'!L240-F8-G8-D9-D11</f>
        <v>260285</v>
      </c>
      <c r="F8" s="255">
        <f>'DOE25'!J204+'DOE25'!J222+'DOE25'!J240</f>
        <v>0</v>
      </c>
      <c r="G8" s="53">
        <f>'DOE25'!K204+'DOE25'!K222+'DOE25'!K240</f>
        <v>3511</v>
      </c>
      <c r="H8" s="259"/>
    </row>
    <row r="9" spans="1:9" x14ac:dyDescent="0.2">
      <c r="A9" s="32">
        <v>2310</v>
      </c>
      <c r="B9" t="s">
        <v>818</v>
      </c>
      <c r="C9" s="245">
        <f t="shared" si="0"/>
        <v>83986</v>
      </c>
      <c r="D9" s="244">
        <v>83986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13790</v>
      </c>
      <c r="D10" s="243"/>
      <c r="E10" s="244">
        <v>13790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94938</v>
      </c>
      <c r="D11" s="244">
        <v>94938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606264</v>
      </c>
      <c r="D12" s="20">
        <f>'DOE25'!L205+'DOE25'!L223+'DOE25'!L241-F12-G12</f>
        <v>588856</v>
      </c>
      <c r="E12" s="243"/>
      <c r="F12" s="255">
        <f>'DOE25'!J205+'DOE25'!J223+'DOE25'!J241</f>
        <v>915</v>
      </c>
      <c r="G12" s="53">
        <f>'DOE25'!K205+'DOE25'!K223+'DOE25'!K241</f>
        <v>16493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722406</v>
      </c>
      <c r="D14" s="20">
        <f>'DOE25'!L207+'DOE25'!L225+'DOE25'!L243-F14-G14</f>
        <v>713786</v>
      </c>
      <c r="E14" s="243"/>
      <c r="F14" s="255">
        <f>'DOE25'!J207+'DOE25'!J225+'DOE25'!J243</f>
        <v>8210</v>
      </c>
      <c r="G14" s="53">
        <f>'DOE25'!K207+'DOE25'!K225+'DOE25'!K243</f>
        <v>410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481678</v>
      </c>
      <c r="D15" s="20">
        <f>'DOE25'!L208+'DOE25'!L226+'DOE25'!L244-F15-G15</f>
        <v>478174</v>
      </c>
      <c r="E15" s="243"/>
      <c r="F15" s="255">
        <f>'DOE25'!J208+'DOE25'!J226+'DOE25'!J244</f>
        <v>0</v>
      </c>
      <c r="G15" s="53">
        <f>'DOE25'!K208+'DOE25'!K226+'DOE25'!K244</f>
        <v>3504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47914</v>
      </c>
      <c r="D16" s="243"/>
      <c r="E16" s="20">
        <f>'DOE25'!L209+'DOE25'!L227+'DOE25'!L245-F16-G16</f>
        <v>32466</v>
      </c>
      <c r="F16" s="255">
        <f>'DOE25'!J209+'DOE25'!J227+'DOE25'!J245</f>
        <v>15448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367331</v>
      </c>
      <c r="D25" s="243"/>
      <c r="E25" s="243"/>
      <c r="F25" s="258"/>
      <c r="G25" s="256"/>
      <c r="H25" s="257">
        <f>'DOE25'!L260+'DOE25'!L261+'DOE25'!L341+'DOE25'!L342</f>
        <v>367331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193127</v>
      </c>
      <c r="D29" s="20">
        <f>'DOE25'!L358+'DOE25'!L359+'DOE25'!L360-'DOE25'!I367-F29-G29</f>
        <v>193127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530567</v>
      </c>
      <c r="D31" s="20">
        <f>'DOE25'!L290+'DOE25'!L309+'DOE25'!L328+'DOE25'!L333+'DOE25'!L334+'DOE25'!L335-F31-G31</f>
        <v>434205</v>
      </c>
      <c r="E31" s="243"/>
      <c r="F31" s="255">
        <f>'DOE25'!J290+'DOE25'!J309+'DOE25'!J328+'DOE25'!J333+'DOE25'!J334+'DOE25'!J335</f>
        <v>73083</v>
      </c>
      <c r="G31" s="53">
        <f>'DOE25'!K290+'DOE25'!K309+'DOE25'!K328+'DOE25'!K333+'DOE25'!K334+'DOE25'!K335</f>
        <v>23279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8681846</v>
      </c>
      <c r="E33" s="246">
        <f>SUM(E5:E31)</f>
        <v>306541</v>
      </c>
      <c r="F33" s="246">
        <f>SUM(F5:F31)</f>
        <v>127472</v>
      </c>
      <c r="G33" s="246">
        <f>SUM(G5:G31)</f>
        <v>50714</v>
      </c>
      <c r="H33" s="246">
        <f>SUM(H5:H31)</f>
        <v>367331</v>
      </c>
    </row>
    <row r="35" spans="2:8" ht="12" thickBot="1" x14ac:dyDescent="0.25">
      <c r="B35" s="253" t="s">
        <v>847</v>
      </c>
      <c r="D35" s="254">
        <f>E33</f>
        <v>306541</v>
      </c>
      <c r="E35" s="249"/>
    </row>
    <row r="36" spans="2:8" ht="12" thickTop="1" x14ac:dyDescent="0.2">
      <c r="B36" t="s">
        <v>815</v>
      </c>
      <c r="D36" s="20">
        <f>D33</f>
        <v>8681846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0" activePane="bottomLeft" state="frozen"/>
      <selection activeCell="F46" sqref="F46"/>
      <selection pane="bottomLeft" activeCell="C43" sqref="C4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Milton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333344</v>
      </c>
      <c r="D8" s="95">
        <f>'DOE25'!G9</f>
        <v>0</v>
      </c>
      <c r="E8" s="95">
        <f>'DOE25'!H9</f>
        <v>0</v>
      </c>
      <c r="F8" s="95">
        <f>'DOE25'!I9</f>
        <v>231640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206298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33414</v>
      </c>
      <c r="D11" s="95">
        <f>'DOE25'!G12</f>
        <v>6292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79441</v>
      </c>
      <c r="D12" s="95">
        <f>'DOE25'!G13</f>
        <v>9636</v>
      </c>
      <c r="E12" s="95">
        <f>'DOE25'!H13</f>
        <v>83127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86980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533179</v>
      </c>
      <c r="D18" s="41">
        <f>SUM(D8:D17)</f>
        <v>15928</v>
      </c>
      <c r="E18" s="41">
        <f>SUM(E8:E17)</f>
        <v>83127</v>
      </c>
      <c r="F18" s="41">
        <f>SUM(F8:F17)</f>
        <v>231640</v>
      </c>
      <c r="G18" s="41">
        <f>SUM(G8:G17)</f>
        <v>206298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39706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4069</v>
      </c>
      <c r="D22" s="95">
        <f>'DOE25'!G23</f>
        <v>15928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61507</v>
      </c>
      <c r="D23" s="95">
        <f>'DOE25'!G24</f>
        <v>0</v>
      </c>
      <c r="E23" s="95">
        <f>'DOE25'!H24</f>
        <v>43421</v>
      </c>
      <c r="F23" s="95">
        <f>'DOE25'!I24</f>
        <v>37302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65576</v>
      </c>
      <c r="D31" s="41">
        <f>SUM(D21:D30)</f>
        <v>15928</v>
      </c>
      <c r="E31" s="41">
        <f>SUM(E21:E30)</f>
        <v>83127</v>
      </c>
      <c r="F31" s="41">
        <f>SUM(F21:F30)</f>
        <v>37302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194338</v>
      </c>
      <c r="G47" s="95">
        <f>'DOE25'!J48</f>
        <v>206298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392603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467603</v>
      </c>
      <c r="D50" s="41">
        <f>SUM(D34:D49)</f>
        <v>0</v>
      </c>
      <c r="E50" s="41">
        <f>SUM(E34:E49)</f>
        <v>0</v>
      </c>
      <c r="F50" s="41">
        <f>SUM(F34:F49)</f>
        <v>194338</v>
      </c>
      <c r="G50" s="41">
        <f>SUM(G34:G49)</f>
        <v>206298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533179</v>
      </c>
      <c r="D51" s="41">
        <f>D50+D31</f>
        <v>15928</v>
      </c>
      <c r="E51" s="41">
        <f>E50+E31</f>
        <v>83127</v>
      </c>
      <c r="F51" s="41">
        <f>F50+F31</f>
        <v>231640</v>
      </c>
      <c r="G51" s="41">
        <f>G50+G31</f>
        <v>206298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4681204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4797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137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790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61724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241786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246720</v>
      </c>
      <c r="D62" s="130">
        <f>SUM(D57:D61)</f>
        <v>61724</v>
      </c>
      <c r="E62" s="130">
        <f>SUM(E57:E61)</f>
        <v>0</v>
      </c>
      <c r="F62" s="130">
        <f>SUM(F57:F61)</f>
        <v>0</v>
      </c>
      <c r="G62" s="130">
        <f>SUM(G57:G61)</f>
        <v>790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4927924</v>
      </c>
      <c r="D63" s="22">
        <f>D56+D62</f>
        <v>61724</v>
      </c>
      <c r="E63" s="22">
        <f>E56+E62</f>
        <v>0</v>
      </c>
      <c r="F63" s="22">
        <f>F56+F62</f>
        <v>0</v>
      </c>
      <c r="G63" s="22">
        <f>G56+G62</f>
        <v>790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2951563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879109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3830672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180047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16420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11457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481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207924</v>
      </c>
      <c r="D78" s="130">
        <f>SUM(D72:D77)</f>
        <v>481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4038596</v>
      </c>
      <c r="D81" s="130">
        <f>SUM(D79:D80)+D78+D70</f>
        <v>481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132560</v>
      </c>
      <c r="D88" s="95">
        <f>SUM('DOE25'!G153:G161)</f>
        <v>139806</v>
      </c>
      <c r="E88" s="95">
        <f>SUM('DOE25'!H153:H161)</f>
        <v>530567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132560</v>
      </c>
      <c r="D91" s="131">
        <f>SUM(D85:D90)</f>
        <v>139806</v>
      </c>
      <c r="E91" s="131">
        <f>SUM(E85:E90)</f>
        <v>530567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76042</v>
      </c>
      <c r="E96" s="95">
        <f>'DOE25'!H179</f>
        <v>0</v>
      </c>
      <c r="F96" s="95">
        <f>'DOE25'!I179</f>
        <v>0</v>
      </c>
      <c r="G96" s="95">
        <f>'DOE25'!J179</f>
        <v>105000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76042</v>
      </c>
      <c r="E103" s="86">
        <f>SUM(E93:E102)</f>
        <v>0</v>
      </c>
      <c r="F103" s="86">
        <f>SUM(F93:F102)</f>
        <v>0</v>
      </c>
      <c r="G103" s="86">
        <f>SUM(G93:G102)</f>
        <v>105000</v>
      </c>
    </row>
    <row r="104" spans="1:7" ht="12.75" thickTop="1" thickBot="1" x14ac:dyDescent="0.25">
      <c r="A104" s="33" t="s">
        <v>765</v>
      </c>
      <c r="C104" s="86">
        <f>C63+C81+C91+C103</f>
        <v>9099080</v>
      </c>
      <c r="D104" s="86">
        <f>D63+D81+D91+D103</f>
        <v>278053</v>
      </c>
      <c r="E104" s="86">
        <f>E63+E81+E91+E103</f>
        <v>530567</v>
      </c>
      <c r="F104" s="86">
        <f>F63+F81+F91+F103</f>
        <v>0</v>
      </c>
      <c r="G104" s="86">
        <f>G63+G81+G103</f>
        <v>105790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3165994</v>
      </c>
      <c r="D109" s="24" t="s">
        <v>289</v>
      </c>
      <c r="E109" s="95">
        <f>('DOE25'!L276)+('DOE25'!L295)+('DOE25'!L314)</f>
        <v>330783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2135080</v>
      </c>
      <c r="D110" s="24" t="s">
        <v>289</v>
      </c>
      <c r="E110" s="95">
        <f>('DOE25'!L277)+('DOE25'!L296)+('DOE25'!L315)</f>
        <v>4740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78997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180286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127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5560357</v>
      </c>
      <c r="D115" s="86">
        <f>SUM(D109:D114)</f>
        <v>0</v>
      </c>
      <c r="E115" s="86">
        <f>SUM(E109:E114)</f>
        <v>335650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409791</v>
      </c>
      <c r="D118" s="24" t="s">
        <v>289</v>
      </c>
      <c r="E118" s="95">
        <f>+('DOE25'!L281)+('DOE25'!L300)+('DOE25'!L319)</f>
        <v>7292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157959</v>
      </c>
      <c r="D119" s="24" t="s">
        <v>289</v>
      </c>
      <c r="E119" s="95">
        <f>+('DOE25'!L282)+('DOE25'!L301)+('DOE25'!L320)</f>
        <v>163226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442720</v>
      </c>
      <c r="D120" s="24" t="s">
        <v>289</v>
      </c>
      <c r="E120" s="95">
        <f>+('DOE25'!L283)+('DOE25'!L302)+('DOE25'!L321)</f>
        <v>954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606264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22325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722406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481678</v>
      </c>
      <c r="D124" s="24" t="s">
        <v>289</v>
      </c>
      <c r="E124" s="95">
        <f>+('DOE25'!L287)+('DOE25'!L306)+('DOE25'!L325)</f>
        <v>1120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47914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278053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2868732</v>
      </c>
      <c r="D128" s="86">
        <f>SUM(D118:D127)</f>
        <v>278053</v>
      </c>
      <c r="E128" s="86">
        <f>SUM(E118:E127)</f>
        <v>194917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275000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92331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76042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105790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-790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548373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8977462</v>
      </c>
      <c r="D145" s="86">
        <f>(D115+D128+D144)</f>
        <v>278053</v>
      </c>
      <c r="E145" s="86">
        <f>(E115+E128+E144)</f>
        <v>530567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4097790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2175000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2175000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275000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275000</v>
      </c>
    </row>
    <row r="159" spans="1:9" x14ac:dyDescent="0.2">
      <c r="A159" s="22" t="s">
        <v>35</v>
      </c>
      <c r="B159" s="137">
        <f>'DOE25'!F498</f>
        <v>1900000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1900000</v>
      </c>
    </row>
    <row r="160" spans="1:9" x14ac:dyDescent="0.2">
      <c r="A160" s="22" t="s">
        <v>36</v>
      </c>
      <c r="B160" s="137">
        <f>'DOE25'!F499</f>
        <v>282913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282913</v>
      </c>
    </row>
    <row r="161" spans="1:7" x14ac:dyDescent="0.2">
      <c r="A161" s="22" t="s">
        <v>37</v>
      </c>
      <c r="B161" s="137">
        <f>'DOE25'!F500</f>
        <v>2182913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2182913</v>
      </c>
    </row>
    <row r="162" spans="1:7" x14ac:dyDescent="0.2">
      <c r="A162" s="22" t="s">
        <v>38</v>
      </c>
      <c r="B162" s="137">
        <f>'DOE25'!F501</f>
        <v>275000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275000</v>
      </c>
    </row>
    <row r="163" spans="1:7" x14ac:dyDescent="0.2">
      <c r="A163" s="22" t="s">
        <v>39</v>
      </c>
      <c r="B163" s="137">
        <f>'DOE25'!F502</f>
        <v>91565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91565</v>
      </c>
    </row>
    <row r="164" spans="1:7" x14ac:dyDescent="0.2">
      <c r="A164" s="22" t="s">
        <v>246</v>
      </c>
      <c r="B164" s="137">
        <f>'DOE25'!F503</f>
        <v>366565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366565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Milton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13518</v>
      </c>
    </row>
    <row r="5" spans="1:4" x14ac:dyDescent="0.2">
      <c r="B5" t="s">
        <v>704</v>
      </c>
      <c r="C5" s="179">
        <f>IF('DOE25'!G665+'DOE25'!G670=0,0,ROUND('DOE25'!G672,0))</f>
        <v>13706</v>
      </c>
    </row>
    <row r="6" spans="1:4" x14ac:dyDescent="0.2">
      <c r="B6" t="s">
        <v>62</v>
      </c>
      <c r="C6" s="179">
        <f>IF('DOE25'!H665+'DOE25'!H670=0,0,ROUND('DOE25'!H672,0))</f>
        <v>15244</v>
      </c>
    </row>
    <row r="7" spans="1:4" x14ac:dyDescent="0.2">
      <c r="B7" t="s">
        <v>705</v>
      </c>
      <c r="C7" s="179">
        <f>IF('DOE25'!I665+'DOE25'!I670=0,0,ROUND('DOE25'!I672,0))</f>
        <v>14096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3496777</v>
      </c>
      <c r="D10" s="182">
        <f>ROUND((C10/$C$28)*100,1)</f>
        <v>37.700000000000003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2139820</v>
      </c>
      <c r="D11" s="182">
        <f>ROUND((C11/$C$28)*100,1)</f>
        <v>23.1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78997</v>
      </c>
      <c r="D12" s="182">
        <f>ROUND((C12/$C$28)*100,1)</f>
        <v>0.9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180286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417083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321185</v>
      </c>
      <c r="D16" s="182">
        <f t="shared" si="0"/>
        <v>3.5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491588</v>
      </c>
      <c r="D17" s="182">
        <f t="shared" si="0"/>
        <v>5.3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606264</v>
      </c>
      <c r="D18" s="182">
        <f t="shared" si="0"/>
        <v>6.5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22325</v>
      </c>
      <c r="D19" s="182">
        <f t="shared" si="0"/>
        <v>0.2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722406</v>
      </c>
      <c r="D20" s="182">
        <f t="shared" si="0"/>
        <v>7.8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482798</v>
      </c>
      <c r="D21" s="182">
        <f t="shared" si="0"/>
        <v>5.2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127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92331</v>
      </c>
      <c r="D25" s="182">
        <f t="shared" si="0"/>
        <v>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216329</v>
      </c>
      <c r="D27" s="182">
        <f t="shared" si="0"/>
        <v>2.2999999999999998</v>
      </c>
    </row>
    <row r="28" spans="1:4" x14ac:dyDescent="0.2">
      <c r="B28" s="187" t="s">
        <v>723</v>
      </c>
      <c r="C28" s="180">
        <f>SUM(C10:C27)</f>
        <v>9268316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9268316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275000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4681204</v>
      </c>
      <c r="D35" s="182">
        <f t="shared" ref="D35:D40" si="1">ROUND((C35/$C$41)*100,1)</f>
        <v>47.9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247510</v>
      </c>
      <c r="D36" s="182">
        <f t="shared" si="1"/>
        <v>2.5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3830672</v>
      </c>
      <c r="D37" s="182">
        <f t="shared" si="1"/>
        <v>39.200000000000003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208405</v>
      </c>
      <c r="D38" s="182">
        <f t="shared" si="1"/>
        <v>2.1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802933</v>
      </c>
      <c r="D39" s="182">
        <f t="shared" si="1"/>
        <v>8.1999999999999993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9770724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:M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Milton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2014-10-23T00:21:31Z</cp:lastPrinted>
  <dcterms:created xsi:type="dcterms:W3CDTF">1997-12-04T19:04:30Z</dcterms:created>
  <dcterms:modified xsi:type="dcterms:W3CDTF">2014-12-05T16:33:26Z</dcterms:modified>
</cp:coreProperties>
</file>