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0" i="12" l="1"/>
  <c r="F24" i="1"/>
  <c r="J604" i="1"/>
  <c r="I604" i="1"/>
  <c r="H604" i="1"/>
  <c r="J236" i="1"/>
  <c r="J233" i="1"/>
  <c r="G233" i="1"/>
  <c r="J218" i="1"/>
  <c r="J215" i="1"/>
  <c r="G215" i="1"/>
  <c r="J197" i="1"/>
  <c r="H200" i="1"/>
  <c r="G197" i="1"/>
  <c r="F50" i="1"/>
  <c r="D11" i="13" l="1"/>
  <c r="F117" i="1" l="1"/>
  <c r="B19" i="12" l="1"/>
  <c r="I523" i="1"/>
  <c r="I522" i="1"/>
  <c r="I521" i="1"/>
  <c r="H523" i="1"/>
  <c r="H522" i="1"/>
  <c r="H521" i="1"/>
  <c r="G523" i="1"/>
  <c r="G522" i="1"/>
  <c r="G521" i="1"/>
  <c r="F523" i="1"/>
  <c r="F522" i="1"/>
  <c r="F521" i="1"/>
  <c r="G613" i="1"/>
  <c r="F613" i="1"/>
  <c r="F469" i="1"/>
  <c r="F276" i="1"/>
  <c r="H22" i="1"/>
  <c r="H24" i="1"/>
  <c r="H13" i="1"/>
  <c r="H9" i="1"/>
  <c r="J468" i="1" l="1"/>
  <c r="H207" i="1"/>
  <c r="K233" i="1"/>
  <c r="I233" i="1"/>
  <c r="H233" i="1"/>
  <c r="F233" i="1"/>
  <c r="K215" i="1"/>
  <c r="I215" i="1"/>
  <c r="H215" i="1"/>
  <c r="F215" i="1"/>
  <c r="I197" i="1"/>
  <c r="H197" i="1"/>
  <c r="F197" i="1"/>
  <c r="I198" i="1"/>
  <c r="H198" i="1"/>
  <c r="G198" i="1"/>
  <c r="F198" i="1"/>
  <c r="J216" i="1"/>
  <c r="I216" i="1"/>
  <c r="H216" i="1"/>
  <c r="G216" i="1"/>
  <c r="F216" i="1"/>
  <c r="I234" i="1"/>
  <c r="H234" i="1"/>
  <c r="G234" i="1"/>
  <c r="F234" i="1"/>
  <c r="G243" i="1"/>
  <c r="G225" i="1"/>
  <c r="G207" i="1"/>
  <c r="K220" i="1"/>
  <c r="K238" i="1"/>
  <c r="I238" i="1"/>
  <c r="H238" i="1"/>
  <c r="G238" i="1"/>
  <c r="F238" i="1"/>
  <c r="I220" i="1"/>
  <c r="H220" i="1"/>
  <c r="G220" i="1"/>
  <c r="F220" i="1"/>
  <c r="I202" i="1"/>
  <c r="H202" i="1"/>
  <c r="G202" i="1"/>
  <c r="F202" i="1"/>
  <c r="J207" i="1"/>
  <c r="I207" i="1"/>
  <c r="F207" i="1"/>
  <c r="I225" i="1"/>
  <c r="H225" i="1"/>
  <c r="F225" i="1"/>
  <c r="I243" i="1"/>
  <c r="H243" i="1"/>
  <c r="F243" i="1"/>
  <c r="I239" i="1"/>
  <c r="H239" i="1"/>
  <c r="G239" i="1"/>
  <c r="F239" i="1"/>
  <c r="I221" i="1"/>
  <c r="H221" i="1"/>
  <c r="G221" i="1"/>
  <c r="F221" i="1"/>
  <c r="I203" i="1"/>
  <c r="G203" i="1"/>
  <c r="F203" i="1"/>
  <c r="H241" i="1"/>
  <c r="G241" i="1"/>
  <c r="F241" i="1"/>
  <c r="I241" i="1"/>
  <c r="J223" i="1"/>
  <c r="I223" i="1"/>
  <c r="G223" i="1"/>
  <c r="F223" i="1"/>
  <c r="I205" i="1"/>
  <c r="H205" i="1"/>
  <c r="G205" i="1"/>
  <c r="F205" i="1"/>
  <c r="H244" i="1"/>
  <c r="H226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2" i="10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E109" i="2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C29" i="10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G147" i="1"/>
  <c r="G162" i="1"/>
  <c r="H147" i="1"/>
  <c r="H162" i="1"/>
  <c r="H169" i="1" s="1"/>
  <c r="I147" i="1"/>
  <c r="I162" i="1"/>
  <c r="C10" i="10"/>
  <c r="L250" i="1"/>
  <c r="L332" i="1"/>
  <c r="L254" i="1"/>
  <c r="C25" i="10"/>
  <c r="L268" i="1"/>
  <c r="L269" i="1"/>
  <c r="L349" i="1"/>
  <c r="L350" i="1"/>
  <c r="I665" i="1"/>
  <c r="I670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E103" i="2" s="1"/>
  <c r="F100" i="2"/>
  <c r="C101" i="2"/>
  <c r="D101" i="2"/>
  <c r="E101" i="2"/>
  <c r="F101" i="2"/>
  <c r="C102" i="2"/>
  <c r="D102" i="2"/>
  <c r="E102" i="2"/>
  <c r="F102" i="2"/>
  <c r="E110" i="2"/>
  <c r="E111" i="2"/>
  <c r="C113" i="2"/>
  <c r="E113" i="2"/>
  <c r="C114" i="2"/>
  <c r="E114" i="2"/>
  <c r="D115" i="2"/>
  <c r="F115" i="2"/>
  <c r="G115" i="2"/>
  <c r="E118" i="2"/>
  <c r="C119" i="2"/>
  <c r="E120" i="2"/>
  <c r="E121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F338" i="1" s="1"/>
  <c r="F352" i="1" s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H639" i="1" s="1"/>
  <c r="J639" i="1" s="1"/>
  <c r="G461" i="1"/>
  <c r="H461" i="1"/>
  <c r="F470" i="1"/>
  <c r="G470" i="1"/>
  <c r="H470" i="1"/>
  <c r="I470" i="1"/>
  <c r="J470" i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J545" i="1" s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J617" i="1" s="1"/>
  <c r="G618" i="1"/>
  <c r="G619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0" i="1"/>
  <c r="H640" i="1"/>
  <c r="J640" i="1" s="1"/>
  <c r="G641" i="1"/>
  <c r="H641" i="1"/>
  <c r="G643" i="1"/>
  <c r="H643" i="1"/>
  <c r="G644" i="1"/>
  <c r="H644" i="1"/>
  <c r="J644" i="1" s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18" i="2"/>
  <c r="C26" i="10"/>
  <c r="L351" i="1"/>
  <c r="A31" i="12"/>
  <c r="D62" i="2"/>
  <c r="D63" i="2" s="1"/>
  <c r="D18" i="13"/>
  <c r="C18" i="13" s="1"/>
  <c r="D17" i="13"/>
  <c r="C17" i="13" s="1"/>
  <c r="F78" i="2"/>
  <c r="F81" i="2" s="1"/>
  <c r="D31" i="2"/>
  <c r="C78" i="2"/>
  <c r="D50" i="2"/>
  <c r="G157" i="2"/>
  <c r="F18" i="2"/>
  <c r="G161" i="2"/>
  <c r="G156" i="2"/>
  <c r="D91" i="2"/>
  <c r="G62" i="2"/>
  <c r="D19" i="13"/>
  <c r="C19" i="13" s="1"/>
  <c r="E78" i="2"/>
  <c r="E81" i="2" s="1"/>
  <c r="J641" i="1"/>
  <c r="J571" i="1"/>
  <c r="K571" i="1"/>
  <c r="L433" i="1"/>
  <c r="L419" i="1"/>
  <c r="D81" i="2"/>
  <c r="I169" i="1"/>
  <c r="J643" i="1"/>
  <c r="G476" i="1"/>
  <c r="H623" i="1" s="1"/>
  <c r="J623" i="1" s="1"/>
  <c r="F169" i="1"/>
  <c r="J140" i="1"/>
  <c r="G22" i="2"/>
  <c r="H552" i="1"/>
  <c r="H140" i="1"/>
  <c r="L401" i="1"/>
  <c r="C139" i="2" s="1"/>
  <c r="L393" i="1"/>
  <c r="C138" i="2" s="1"/>
  <c r="F22" i="13"/>
  <c r="H25" i="13"/>
  <c r="C25" i="13" s="1"/>
  <c r="H571" i="1"/>
  <c r="L560" i="1"/>
  <c r="G192" i="1"/>
  <c r="H192" i="1"/>
  <c r="C35" i="10"/>
  <c r="L570" i="1"/>
  <c r="I571" i="1"/>
  <c r="G36" i="2"/>
  <c r="H545" i="1"/>
  <c r="C22" i="13"/>
  <c r="H33" i="13"/>
  <c r="A13" i="12" l="1"/>
  <c r="A40" i="12"/>
  <c r="K545" i="1"/>
  <c r="K551" i="1"/>
  <c r="F552" i="1"/>
  <c r="L524" i="1"/>
  <c r="G545" i="1"/>
  <c r="I545" i="1"/>
  <c r="G552" i="1"/>
  <c r="L529" i="1"/>
  <c r="K550" i="1"/>
  <c r="I552" i="1"/>
  <c r="K549" i="1"/>
  <c r="L539" i="1"/>
  <c r="L614" i="1"/>
  <c r="L544" i="1"/>
  <c r="F476" i="1"/>
  <c r="H622" i="1" s="1"/>
  <c r="J622" i="1" s="1"/>
  <c r="C81" i="2"/>
  <c r="F112" i="1"/>
  <c r="C62" i="2"/>
  <c r="C63" i="2" s="1"/>
  <c r="L290" i="1"/>
  <c r="H338" i="1"/>
  <c r="H352" i="1" s="1"/>
  <c r="H662" i="1"/>
  <c r="H112" i="1"/>
  <c r="C16" i="10"/>
  <c r="E119" i="2"/>
  <c r="E128" i="2" s="1"/>
  <c r="G338" i="1"/>
  <c r="G352" i="1" s="1"/>
  <c r="E112" i="2"/>
  <c r="L309" i="1"/>
  <c r="J338" i="1"/>
  <c r="J352" i="1" s="1"/>
  <c r="C13" i="10"/>
  <c r="E115" i="2"/>
  <c r="C11" i="10"/>
  <c r="L328" i="1"/>
  <c r="E62" i="2"/>
  <c r="E63" i="2" s="1"/>
  <c r="G624" i="1"/>
  <c r="J624" i="1" s="1"/>
  <c r="J634" i="1"/>
  <c r="F661" i="1"/>
  <c r="G661" i="1"/>
  <c r="H661" i="1"/>
  <c r="D29" i="13"/>
  <c r="C29" i="13" s="1"/>
  <c r="D127" i="2"/>
  <c r="D128" i="2" s="1"/>
  <c r="D145" i="2" s="1"/>
  <c r="L362" i="1"/>
  <c r="G635" i="1" s="1"/>
  <c r="J635" i="1" s="1"/>
  <c r="D18" i="2"/>
  <c r="J655" i="1"/>
  <c r="J476" i="1"/>
  <c r="H626" i="1" s="1"/>
  <c r="C109" i="2"/>
  <c r="C110" i="2"/>
  <c r="C15" i="10"/>
  <c r="C118" i="2"/>
  <c r="D6" i="13"/>
  <c r="C6" i="13" s="1"/>
  <c r="D14" i="13"/>
  <c r="C14" i="13" s="1"/>
  <c r="C123" i="2"/>
  <c r="C20" i="10"/>
  <c r="D7" i="13"/>
  <c r="C7" i="13" s="1"/>
  <c r="C121" i="2"/>
  <c r="D12" i="13"/>
  <c r="C12" i="13" s="1"/>
  <c r="C18" i="10"/>
  <c r="F257" i="1"/>
  <c r="F271" i="1" s="1"/>
  <c r="C120" i="2"/>
  <c r="E8" i="13"/>
  <c r="C8" i="13" s="1"/>
  <c r="C17" i="10"/>
  <c r="E16" i="13"/>
  <c r="C16" i="13" s="1"/>
  <c r="L229" i="1"/>
  <c r="L247" i="1"/>
  <c r="J257" i="1"/>
  <c r="J271" i="1" s="1"/>
  <c r="C19" i="10"/>
  <c r="C122" i="2"/>
  <c r="E13" i="13"/>
  <c r="C13" i="13" s="1"/>
  <c r="K257" i="1"/>
  <c r="K271" i="1" s="1"/>
  <c r="C112" i="2"/>
  <c r="C111" i="2"/>
  <c r="D5" i="13"/>
  <c r="C5" i="13" s="1"/>
  <c r="I257" i="1"/>
  <c r="I271" i="1" s="1"/>
  <c r="H257" i="1"/>
  <c r="H271" i="1" s="1"/>
  <c r="G257" i="1"/>
  <c r="G271" i="1" s="1"/>
  <c r="C21" i="10"/>
  <c r="J651" i="1"/>
  <c r="L211" i="1"/>
  <c r="D15" i="13"/>
  <c r="C15" i="13" s="1"/>
  <c r="G649" i="1"/>
  <c r="J649" i="1" s="1"/>
  <c r="C124" i="2"/>
  <c r="C128" i="2" s="1"/>
  <c r="F662" i="1"/>
  <c r="I662" i="1" s="1"/>
  <c r="H647" i="1"/>
  <c r="K598" i="1"/>
  <c r="G647" i="1" s="1"/>
  <c r="L565" i="1"/>
  <c r="L571" i="1" s="1"/>
  <c r="J636" i="1"/>
  <c r="G645" i="1"/>
  <c r="J645" i="1" s="1"/>
  <c r="I476" i="1"/>
  <c r="H625" i="1" s="1"/>
  <c r="J625" i="1" s="1"/>
  <c r="I52" i="1"/>
  <c r="H620" i="1" s="1"/>
  <c r="J620" i="1" s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G50" i="2" s="1"/>
  <c r="G51" i="2" s="1"/>
  <c r="J51" i="1"/>
  <c r="G16" i="2"/>
  <c r="J19" i="1"/>
  <c r="G621" i="1" s="1"/>
  <c r="G18" i="2"/>
  <c r="F545" i="1"/>
  <c r="H434" i="1"/>
  <c r="J619" i="1"/>
  <c r="D103" i="2"/>
  <c r="D104" i="2" s="1"/>
  <c r="I140" i="1"/>
  <c r="A22" i="12"/>
  <c r="H646" i="1"/>
  <c r="J652" i="1"/>
  <c r="J642" i="1"/>
  <c r="G571" i="1"/>
  <c r="I434" i="1"/>
  <c r="G434" i="1"/>
  <c r="I663" i="1"/>
  <c r="C27" i="10"/>
  <c r="K552" i="1" l="1"/>
  <c r="L545" i="1"/>
  <c r="C104" i="2"/>
  <c r="E104" i="2"/>
  <c r="L338" i="1"/>
  <c r="L352" i="1" s="1"/>
  <c r="G633" i="1" s="1"/>
  <c r="J633" i="1" s="1"/>
  <c r="E145" i="2"/>
  <c r="D31" i="13"/>
  <c r="C31" i="13" s="1"/>
  <c r="G660" i="1"/>
  <c r="G664" i="1" s="1"/>
  <c r="G667" i="1" s="1"/>
  <c r="H660" i="1"/>
  <c r="H664" i="1" s="1"/>
  <c r="H667" i="1" s="1"/>
  <c r="I661" i="1"/>
  <c r="H648" i="1"/>
  <c r="J648" i="1" s="1"/>
  <c r="C28" i="10"/>
  <c r="D23" i="10" s="1"/>
  <c r="L257" i="1"/>
  <c r="L271" i="1" s="1"/>
  <c r="G632" i="1" s="1"/>
  <c r="J632" i="1" s="1"/>
  <c r="F660" i="1"/>
  <c r="E33" i="13"/>
  <c r="D35" i="13" s="1"/>
  <c r="C115" i="2"/>
  <c r="C145" i="2" s="1"/>
  <c r="J647" i="1"/>
  <c r="F51" i="2"/>
  <c r="I193" i="1"/>
  <c r="G630" i="1" s="1"/>
  <c r="J630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D33" i="13"/>
  <c r="D36" i="13" s="1"/>
  <c r="I660" i="1"/>
  <c r="I664" i="1" s="1"/>
  <c r="I672" i="1" s="1"/>
  <c r="C7" i="10" s="1"/>
  <c r="G672" i="1"/>
  <c r="C5" i="10" s="1"/>
  <c r="D13" i="10"/>
  <c r="D11" i="10"/>
  <c r="D25" i="10"/>
  <c r="D12" i="10"/>
  <c r="D18" i="10"/>
  <c r="D19" i="10"/>
  <c r="D20" i="10"/>
  <c r="D17" i="10"/>
  <c r="D22" i="10"/>
  <c r="D27" i="10"/>
  <c r="D15" i="10"/>
  <c r="D21" i="10"/>
  <c r="D24" i="10"/>
  <c r="D10" i="10"/>
  <c r="D26" i="10"/>
  <c r="C30" i="10"/>
  <c r="D16" i="10"/>
  <c r="F664" i="1"/>
  <c r="F672" i="1" s="1"/>
  <c r="C4" i="10" s="1"/>
  <c r="H656" i="1"/>
  <c r="C41" i="10"/>
  <c r="D38" i="10" s="1"/>
  <c r="I667" i="1" l="1"/>
  <c r="D28" i="10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<sst xmlns="http://schemas.openxmlformats.org/spreadsheetml/2006/main" count="3957" uniqueCount="915">
  <si>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</si>
  <si>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</si>
  <si>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</si>
  <si>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</si>
  <si>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</si>
  <si>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</si>
  <si>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</si>
  <si>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</si>
  <si>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</si>
  <si>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</si>
  <si>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</si>
  <si>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</si>
  <si>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</si>
  <si>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</si>
  <si>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</si>
  <si>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</si>
  <si>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</si>
  <si>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</si>
  <si>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</si>
  <si>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</si>
  <si>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</si>
  <si>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</si>
  <si>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</si>
  <si>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</si>
  <si>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</si>
  <si>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</si>
  <si>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</si>
  <si>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</si>
  <si>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</si>
  <si>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</si>
  <si>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</si>
  <si>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</si>
  <si>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</si>
  <si>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</si>
  <si>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</si>
  <si>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</si>
  <si>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</si>
  <si>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</si>
  <si>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</si>
  <si>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</si>
  <si>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</si>
  <si>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</si>
  <si>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</si>
  <si>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</si>
  <si>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</si>
  <si>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</si>
  <si>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</si>
  <si>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</si>
  <si>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</si>
  <si>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</si>
  <si>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</si>
  <si>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</si>
  <si>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</si>
  <si>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</si>
  <si>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</si>
  <si>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</si>
  <si>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</si>
  <si>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</si>
  <si>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</si>
  <si>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</si>
  <si>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</si>
  <si>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</si>
  <si>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</si>
  <si>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</si>
  <si>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</si>
  <si>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</si>
  <si>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</si>
  <si>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</si>
  <si>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</si>
  <si>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</si>
  <si>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</si>
  <si>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</si>
  <si>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</si>
  <si>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</si>
  <si>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</si>
  <si>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</si>
  <si>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</si>
  <si>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</si>
  <si>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</si>
  <si>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</si>
  <si>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</si>
  <si>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</si>
  <si>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</si>
  <si>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</si>
  <si>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</si>
  <si>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</si>
  <si>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</si>
  <si>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</si>
  <si>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</si>
  <si>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</si>
  <si>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</si>
  <si>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</si>
  <si>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</si>
  <si>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</si>
  <si>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</si>
  <si>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</si>
  <si>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</si>
  <si>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</si>
  <si>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</si>
  <si>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</si>
  <si>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</si>
  <si>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</si>
  <si>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</si>
  <si>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</si>
  <si>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</si>
  <si>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</si>
  <si>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</si>
  <si>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</si>
  <si>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</si>
  <si>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</si>
  <si>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</si>
  <si>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</si>
  <si>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</si>
  <si>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</si>
  <si>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</si>
  <si>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</si>
  <si>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</si>
  <si>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</si>
  <si>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</si>
  <si>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</si>
  <si>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</si>
  <si>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</si>
  <si>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</si>
  <si>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</si>
  <si>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</si>
  <si>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</si>
  <si>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</si>
  <si>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</si>
  <si>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</si>
  <si>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</si>
  <si>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</si>
  <si>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</si>
  <si>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</si>
  <si>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</si>
  <si>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</si>
  <si>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</si>
  <si>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</si>
  <si>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</si>
  <si>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</si>
  <si>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</si>
  <si>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</si>
  <si>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</si>
  <si>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</si>
  <si>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</si>
  <si>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</si>
  <si>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</si>
  <si>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</si>
  <si>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</si>
  <si>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</si>
  <si>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</si>
  <si>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</si>
  <si>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</si>
  <si>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</si>
  <si>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</si>
  <si>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</si>
  <si>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</si>
  <si>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</si>
  <si>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</si>
  <si>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</si>
  <si>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</si>
  <si>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</si>
  <si>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</si>
  <si>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</si>
  <si>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</si>
  <si>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</si>
  <si>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</si>
  <si>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</si>
  <si>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</si>
  <si>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</si>
  <si>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</si>
  <si>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</si>
  <si>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</si>
  <si>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</si>
  <si>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</si>
  <si>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</si>
  <si>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</si>
  <si>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</si>
  <si>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</si>
  <si>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</si>
  <si>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</si>
  <si>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</si>
  <si>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</si>
  <si>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</si>
  <si>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</si>
  <si>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</si>
  <si>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</si>
  <si>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</si>
  <si>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</si>
  <si>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</si>
  <si>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</si>
  <si>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</si>
  <si>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</si>
  <si>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</si>
  <si>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</si>
  <si>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</si>
  <si>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</si>
  <si>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</si>
  <si>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</si>
  <si>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</si>
  <si>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</si>
  <si>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</si>
  <si>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</si>
  <si>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</si>
  <si>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</si>
  <si>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</si>
  <si>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</si>
  <si>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</si>
  <si>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</si>
  <si>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</si>
  <si>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</si>
  <si>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</si>
  <si>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</si>
  <si>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</si>
  <si>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</si>
  <si>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</si>
  <si>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</si>
  <si>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</si>
  <si>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</si>
  <si>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</si>
  <si>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</si>
  <si>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</si>
  <si>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</si>
  <si>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</si>
  <si>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</si>
  <si>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</si>
  <si>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</si>
  <si>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</si>
  <si>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</si>
  <si>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</si>
  <si>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</si>
  <si>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</si>
  <si>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</si>
  <si>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</si>
  <si>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</si>
  <si>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</si>
  <si>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</si>
  <si>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</si>
  <si>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</si>
  <si>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</si>
  <si>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</si>
  <si>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</si>
  <si>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</si>
  <si>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</si>
  <si>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</si>
  <si>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</si>
  <si>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</si>
  <si>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</si>
  <si>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</si>
  <si>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</si>
  <si>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</si>
  <si>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</si>
  <si>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</si>
  <si>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</si>
  <si>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</si>
  <si>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</si>
  <si>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</si>
  <si>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</si>
  <si>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</si>
  <si>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</si>
  <si>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</si>
  <si>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</si>
  <si>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</si>
  <si>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</si>
  <si>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</si>
  <si>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</si>
  <si>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</si>
  <si>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</si>
  <si>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</si>
  <si>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</si>
  <si>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</si>
  <si>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</si>
  <si>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</si>
  <si>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</si>
  <si>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</si>
  <si>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</si>
  <si>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</si>
  <si>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</si>
  <si>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</si>
  <si>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</si>
  <si>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</si>
  <si>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</si>
  <si>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</si>
  <si>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</si>
  <si>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</si>
  <si>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</si>
  <si>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</si>
  <si>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</si>
  <si>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</si>
  <si>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</si>
  <si>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</si>
  <si>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</si>
  <si>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</si>
  <si>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</si>
  <si>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</si>
  <si>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</si>
  <si>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</si>
  <si>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</si>
  <si>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</si>
  <si>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</si>
  <si>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</si>
  <si>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</si>
  <si>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</si>
  <si>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</si>
  <si>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</si>
  <si>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</si>
  <si>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</si>
  <si>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</si>
  <si>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</si>
  <si>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</si>
  <si>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</si>
  <si>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</si>
  <si>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</si>
  <si>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</si>
  <si>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</si>
  <si>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</si>
  <si>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</si>
  <si>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</si>
  <si>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</si>
  <si>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</si>
  <si>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</si>
  <si>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</si>
  <si>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</si>
  <si>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</si>
  <si>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</si>
  <si>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</si>
  <si>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</si>
  <si>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</si>
  <si>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</si>
  <si>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</si>
  <si>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</si>
  <si>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</si>
  <si>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</si>
  <si>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</si>
  <si>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</si>
  <si>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</si>
  <si>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</si>
  <si>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</si>
  <si>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</si>
  <si>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</si>
  <si>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</si>
  <si>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</si>
  <si>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</si>
  <si>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</si>
  <si>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</si>
  <si>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</si>
  <si>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</si>
  <si>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</si>
  <si>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</si>
  <si>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</si>
  <si>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</si>
  <si>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</si>
  <si>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</si>
  <si>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</si>
  <si>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</si>
  <si>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</si>
  <si>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</si>
  <si>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</si>
  <si>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</si>
  <si>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</si>
  <si>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</si>
  <si>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</si>
  <si>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</si>
  <si>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</si>
  <si>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</si>
  <si>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</si>
  <si>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</si>
  <si>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</si>
  <si>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</si>
  <si>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</si>
  <si>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</si>
  <si>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</si>
  <si>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</si>
  <si>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</si>
  <si>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</si>
  <si>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</si>
  <si>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</si>
  <si>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</si>
  <si>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</si>
  <si>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</si>
  <si>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</si>
  <si>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</si>
  <si>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</si>
  <si>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</si>
  <si>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</si>
  <si>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</si>
  <si>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</si>
  <si>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</si>
  <si>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</si>
  <si>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</si>
  <si>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</si>
  <si>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</si>
  <si>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</si>
  <si>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</si>
  <si>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</si>
  <si>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</si>
  <si>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</si>
  <si>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</si>
  <si>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</si>
  <si>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</si>
  <si>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</si>
  <si>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</si>
  <si>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</si>
  <si>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</si>
  <si>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</si>
  <si>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</si>
  <si>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</si>
  <si>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</si>
  <si>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</si>
  <si>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</si>
  <si>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</si>
  <si>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</si>
  <si>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</si>
  <si>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</si>
  <si>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</si>
  <si>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</si>
  <si>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</si>
  <si>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</si>
  <si>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</si>
  <si>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</si>
  <si>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</si>
  <si>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</si>
  <si>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</si>
  <si>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</si>
  <si>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</si>
  <si>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</si>
  <si>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</si>
  <si>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</si>
  <si>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</si>
  <si>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</si>
  <si>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</si>
  <si>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</si>
  <si>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</si>
  <si>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</si>
  <si>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</si>
  <si>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</si>
  <si>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</si>
  <si>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</si>
  <si>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</si>
  <si>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</si>
  <si>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</si>
  <si>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</si>
  <si>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</si>
  <si>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</si>
  <si>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</si>
  <si>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</si>
  <si>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</si>
  <si>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</si>
  <si>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</si>
  <si>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</si>
  <si>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</si>
  <si>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</si>
  <si>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</si>
  <si>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</si>
  <si>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</si>
  <si>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</si>
  <si>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</si>
  <si>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</si>
  <si>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</si>
  <si>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</si>
  <si>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</si>
  <si>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</si>
  <si>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</si>
  <si>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</si>
  <si>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</si>
  <si>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</si>
  <si>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</si>
  <si>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</si>
  <si>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</si>
  <si>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</si>
  <si>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</si>
  <si>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</si>
  <si>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</si>
  <si>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</si>
  <si>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</si>
  <si>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</si>
  <si>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</si>
  <si>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</si>
  <si>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</si>
  <si>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</si>
  <si>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</si>
  <si>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</si>
  <si>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</si>
  <si>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</si>
  <si>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</si>
  <si>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</si>
  <si>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</si>
  <si>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</si>
  <si>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</si>
  <si>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</si>
  <si>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</si>
  <si>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</si>
  <si>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</si>
  <si>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</si>
  <si>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</si>
  <si>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</si>
  <si>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</si>
  <si>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</si>
  <si>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</si>
  <si>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</si>
  <si>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</si>
  <si>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</si>
  <si>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</si>
  <si>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</si>
  <si>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</si>
  <si>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</si>
  <si>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</si>
  <si>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</si>
  <si>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</si>
  <si>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</si>
  <si>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</si>
  <si>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</si>
  <si>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</si>
  <si>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</si>
  <si>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</si>
  <si>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</si>
  <si>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</si>
  <si>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</si>
  <si>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</si>
  <si>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</si>
  <si>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</si>
  <si>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</si>
  <si>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</si>
  <si>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</si>
  <si>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</si>
  <si>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</si>
  <si>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</si>
  <si>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</si>
  <si>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</si>
  <si>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</si>
  <si>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</si>
  <si>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</si>
  <si>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</si>
  <si>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</si>
  <si>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</si>
  <si>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</si>
  <si>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</si>
  <si>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</si>
  <si>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</si>
  <si>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</si>
  <si>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</si>
  <si>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</si>
  <si>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</si>
  <si>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</si>
  <si>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</si>
  <si>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</si>
  <si>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</si>
  <si>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</si>
  <si>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</si>
  <si>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</si>
  <si>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</si>
  <si>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</si>
  <si>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</si>
  <si>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</si>
  <si>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</si>
  <si>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</si>
  <si>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</si>
  <si>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</si>
  <si>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</si>
  <si>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</si>
  <si>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</si>
  <si>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</si>
  <si>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</si>
  <si>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</si>
  <si>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</si>
  <si>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</si>
  <si>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</si>
  <si>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</si>
  <si>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</si>
  <si>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</si>
  <si>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</si>
  <si>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</si>
  <si>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</si>
  <si>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</si>
  <si>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</si>
  <si>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</si>
  <si>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</si>
  <si>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</si>
  <si>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</si>
  <si>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</si>
  <si>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</si>
  <si>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</si>
  <si>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</si>
  <si>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</si>
  <si>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</si>
  <si>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</si>
  <si>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</si>
  <si>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</si>
  <si>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</si>
  <si>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</si>
  <si>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</si>
  <si>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</si>
  <si>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</si>
  <si>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</si>
  <si>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</si>
  <si>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</si>
  <si>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</si>
  <si>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</si>
  <si>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</si>
  <si>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</si>
  <si>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</si>
  <si>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</si>
  <si>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</si>
  <si>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</si>
  <si>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</si>
  <si>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</si>
  <si>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</si>
  <si>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</si>
  <si>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</si>
  <si>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</si>
  <si>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</si>
  <si>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</si>
  <si>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</si>
  <si>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</si>
  <si>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</si>
  <si>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</si>
  <si>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</si>
  <si>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</si>
  <si>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</si>
  <si>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</si>
  <si>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</si>
  <si>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</si>
  <si>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</si>
  <si>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</si>
  <si>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</si>
  <si>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</si>
  <si>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</si>
  <si>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</si>
  <si>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</si>
  <si>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</si>
  <si>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</si>
  <si>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</si>
  <si>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</si>
  <si>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</si>
  <si>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</si>
  <si>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</si>
  <si>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</si>
  <si>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</si>
  <si>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</si>
  <si>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</si>
  <si>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</si>
  <si>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</si>
  <si>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</si>
  <si>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</si>
  <si>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</si>
  <si>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</si>
  <si>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</si>
  <si>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</si>
  <si>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</si>
  <si>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</si>
  <si>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</si>
  <si>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</si>
  <si>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</si>
  <si>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</si>
  <si>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</si>
  <si>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</si>
  <si>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</si>
  <si>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</si>
  <si>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</si>
  <si>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</si>
  <si>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</si>
  <si>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</si>
  <si>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</si>
  <si>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</si>
  <si>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</si>
  <si>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</si>
  <si>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</si>
  <si>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</si>
  <si>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</si>
  <si>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</si>
  <si>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</si>
  <si>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</si>
  <si>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</si>
  <si>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</si>
  <si>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</si>
  <si>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</si>
  <si>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</si>
  <si>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</si>
  <si>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</si>
  <si>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</si>
  <si>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</si>
  <si>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</si>
  <si>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</si>
  <si>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</si>
  <si>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</si>
  <si>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</si>
  <si>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</si>
  <si>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</si>
  <si>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</si>
  <si>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</si>
  <si>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</si>
  <si>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</si>
  <si>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</si>
  <si>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</si>
  <si>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</si>
  <si>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</si>
  <si>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</si>
  <si>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</si>
  <si>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</si>
  <si>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</si>
  <si>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</si>
  <si>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</si>
  <si>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</si>
  <si>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</si>
  <si>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</si>
  <si>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</si>
  <si>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</si>
  <si>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</si>
  <si>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</si>
  <si>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</si>
  <si>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</si>
  <si>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</si>
  <si>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</si>
  <si>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</si>
  <si>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</si>
  <si>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</si>
  <si>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</si>
  <si>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</si>
  <si>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</si>
  <si>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</si>
  <si>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</si>
  <si>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</si>
  <si>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</si>
  <si>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</si>
  <si>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</si>
  <si>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</si>
  <si>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</si>
  <si>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</si>
  <si>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</si>
  <si>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</si>
  <si>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</si>
  <si>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</si>
  <si>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</si>
  <si>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</si>
  <si>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</si>
  <si>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</si>
  <si>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</si>
  <si>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</si>
  <si>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</si>
  <si>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</si>
  <si>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</si>
  <si>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</si>
  <si>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</si>
  <si>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</si>
  <si>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</si>
  <si>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</si>
  <si>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</si>
  <si>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</si>
  <si>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</si>
  <si>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</si>
  <si>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</si>
  <si>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</si>
  <si>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</si>
  <si>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</si>
  <si>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</si>
  <si>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</si>
  <si>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</si>
  <si>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</si>
  <si>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</si>
  <si>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</si>
  <si>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</si>
  <si>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</si>
  <si>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</si>
  <si>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</si>
  <si>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</si>
  <si>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</si>
  <si>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</si>
  <si>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</si>
  <si>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</si>
  <si>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</si>
  <si>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</si>
  <si>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</si>
  <si>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</si>
  <si>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</si>
  <si>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</si>
  <si>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</si>
  <si>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</si>
  <si>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</si>
  <si>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</si>
  <si>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</si>
  <si>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</si>
  <si>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</si>
  <si>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</si>
  <si>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</si>
  <si>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</si>
  <si>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</si>
  <si>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</si>
  <si>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</si>
  <si>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</si>
  <si>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</si>
  <si>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</si>
  <si>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</si>
  <si>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</si>
  <si>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</si>
  <si>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</si>
  <si>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</si>
  <si>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</si>
  <si>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</si>
  <si>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</si>
  <si>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</si>
  <si>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</si>
  <si>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</si>
  <si>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</si>
  <si>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</si>
  <si>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</si>
  <si>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</si>
  <si>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</si>
  <si>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</si>
  <si>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</si>
  <si>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</si>
  <si>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</si>
  <si>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</si>
  <si>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</si>
  <si>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</si>
  <si>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</si>
  <si>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</si>
  <si>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</si>
  <si>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</si>
  <si>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</si>
  <si>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</si>
  <si>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</si>
  <si>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</si>
  <si>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</si>
  <si>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</si>
  <si>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</si>
  <si>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</si>
  <si>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</si>
  <si>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</si>
  <si>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</si>
  <si>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</si>
  <si>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</si>
  <si>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</si>
  <si>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</si>
  <si>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</si>
  <si>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</si>
  <si>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</si>
  <si>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</si>
  <si>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</si>
  <si>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</si>
  <si>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</si>
  <si>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</si>
  <si>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</si>
  <si>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</si>
  <si>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</si>
  <si>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</si>
  <si>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</si>
  <si>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</si>
  <si>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</si>
  <si>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</si>
  <si>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</si>
  <si>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</si>
  <si>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</si>
  <si>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</si>
  <si>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</si>
  <si>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</si>
  <si>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</si>
  <si>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</si>
  <si>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</si>
  <si>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</si>
  <si>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</si>
  <si>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</si>
  <si>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</si>
  <si>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</si>
  <si>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</si>
  <si>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</si>
  <si>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</si>
  <si>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</si>
  <si>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</si>
  <si>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</si>
  <si>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</si>
  <si>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</si>
  <si>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</si>
  <si>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</si>
  <si>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</si>
  <si>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</si>
  <si>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</si>
  <si>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</si>
  <si>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</si>
  <si>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</si>
  <si>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</si>
  <si>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</si>
  <si>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</si>
  <si>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</si>
  <si>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</si>
  <si>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</si>
  <si>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</si>
  <si>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</si>
  <si>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</si>
  <si>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</si>
  <si>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</si>
  <si>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</si>
  <si>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</si>
  <si>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</si>
  <si>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</si>
  <si>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</si>
  <si>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</si>
  <si>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</si>
  <si>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</si>
  <si>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</si>
  <si>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</si>
  <si>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</si>
  <si>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</si>
  <si>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</si>
  <si>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</si>
  <si>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</si>
  <si>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</si>
  <si>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</si>
  <si>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</si>
  <si>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</si>
  <si>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</si>
  <si>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</si>
  <si>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</si>
  <si>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audit adjustments to fund balance</t>
  </si>
  <si>
    <t>food svc adjustment is audit adjustment</t>
  </si>
  <si>
    <t>I put the refund from LGC  for prior years overcharge here</t>
  </si>
  <si>
    <t>Monadnock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</si>
</sst>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363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1800310</v>
      </c>
      <c r="G9" s="18">
        <v>12361</v>
      </c>
      <c r="H9" s="18">
        <f>61953+26269</f>
        <v>88222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685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599342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107344</v>
      </c>
      <c r="H12" s="18"/>
      <c r="I12" s="18">
        <v>153511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26542</v>
      </c>
      <c r="G13" s="18">
        <v>21837</v>
      </c>
      <c r="H13" s="18">
        <f>94141+808880</f>
        <v>903021</v>
      </c>
      <c r="I13" s="18"/>
      <c r="J13" s="67">
        <f>SUM(I442)</f>
        <v>483005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96363</v>
      </c>
      <c r="G14" s="18">
        <v>40000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2523242</v>
      </c>
      <c r="G19" s="41">
        <f>SUM(G9:G18)</f>
        <v>181542</v>
      </c>
      <c r="H19" s="41">
        <f>SUM(H9:H18)</f>
        <v>991243</v>
      </c>
      <c r="I19" s="41">
        <f>SUM(I9:I18)</f>
        <v>153511</v>
      </c>
      <c r="J19" s="41">
        <f>SUM(J9:J18)</f>
        <v>483005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1726</v>
      </c>
      <c r="H22" s="18">
        <f>111641+413630</f>
        <v>525271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11305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233087+8212</f>
        <v>241299</v>
      </c>
      <c r="G24" s="18">
        <v>19736</v>
      </c>
      <c r="H24" s="18">
        <f>3676+81693</f>
        <v>85369</v>
      </c>
      <c r="I24" s="18">
        <v>240652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241299</v>
      </c>
      <c r="G32" s="41">
        <f>SUM(G22:G31)</f>
        <v>21462</v>
      </c>
      <c r="H32" s="41">
        <f>SUM(H22:H31)</f>
        <v>621945</v>
      </c>
      <c r="I32" s="41">
        <f>SUM(I22:I31)</f>
        <v>240652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372664</v>
      </c>
      <c r="G43" s="18">
        <v>160080</v>
      </c>
      <c r="H43" s="18">
        <v>369298</v>
      </c>
      <c r="I43" s="18"/>
      <c r="J43" s="13">
        <f>SUM(I456)</f>
        <v>4477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>
        <v>-87141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478528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2194938-285659</f>
        <v>1909279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2281943</v>
      </c>
      <c r="G51" s="41">
        <f>SUM(G35:G50)</f>
        <v>160080</v>
      </c>
      <c r="H51" s="41">
        <f>SUM(H35:H50)</f>
        <v>369298</v>
      </c>
      <c r="I51" s="41">
        <f>SUM(I35:I50)</f>
        <v>-87141</v>
      </c>
      <c r="J51" s="41">
        <f>SUM(J35:J50)</f>
        <v>483005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2523242</v>
      </c>
      <c r="G52" s="41">
        <f>G51+G32</f>
        <v>181542</v>
      </c>
      <c r="H52" s="41">
        <f>H51+H32</f>
        <v>991243</v>
      </c>
      <c r="I52" s="41">
        <f>I51+I32</f>
        <v>153511</v>
      </c>
      <c r="J52" s="41">
        <f>J51+J32</f>
        <v>483005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17678178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17678178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25304</v>
      </c>
      <c r="G63" s="24" t="s">
        <v>289</v>
      </c>
      <c r="H63" s="18">
        <v>140192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825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296091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71699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393919</v>
      </c>
      <c r="G79" s="45" t="s">
        <v>289</v>
      </c>
      <c r="H79" s="41">
        <f>SUM(H63:H78)</f>
        <v>140192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1216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443187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>
        <v>6516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3176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3000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182580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619619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35008</v>
      </c>
      <c r="G110" s="18"/>
      <c r="H110" s="18">
        <v>65989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840383</v>
      </c>
      <c r="G111" s="41">
        <f>SUM(G96:G110)</f>
        <v>443187</v>
      </c>
      <c r="H111" s="41">
        <f>SUM(H96:H110)</f>
        <v>75505</v>
      </c>
      <c r="I111" s="41">
        <f>SUM(I96:I110)</f>
        <v>0</v>
      </c>
      <c r="J111" s="41">
        <f>SUM(J96:J110)</f>
        <v>1216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18912480</v>
      </c>
      <c r="G112" s="41">
        <f>G60+G111</f>
        <v>443187</v>
      </c>
      <c r="H112" s="41">
        <f>H60+H79+H94+H111</f>
        <v>215697</v>
      </c>
      <c r="I112" s="41">
        <f>I60+I111</f>
        <v>0</v>
      </c>
      <c r="J112" s="41">
        <f>J60+J111</f>
        <v>1216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f>9758452-3898</f>
        <v>9754554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2604474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3898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12362926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630701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408278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7509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2292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1046488</v>
      </c>
      <c r="G136" s="41">
        <f>SUM(G123:G135)</f>
        <v>2292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13409414</v>
      </c>
      <c r="G140" s="41">
        <f>G121+SUM(G136:G137)</f>
        <v>2292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80173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80173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596522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1056895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5201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481943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356208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356208</v>
      </c>
      <c r="G162" s="41">
        <f>SUM(G150:G161)</f>
        <v>481943</v>
      </c>
      <c r="H162" s="41">
        <f>SUM(H150:H161)</f>
        <v>1658618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436381</v>
      </c>
      <c r="G169" s="41">
        <f>G147+G162+SUM(G163:G168)</f>
        <v>481943</v>
      </c>
      <c r="H169" s="41">
        <f>H147+H162+SUM(H163:H168)</f>
        <v>1658618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>
        <v>1621858</v>
      </c>
      <c r="J179" s="18">
        <v>124436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1621858</v>
      </c>
      <c r="J183" s="41">
        <f>SUM(J179:J182)</f>
        <v>124436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>
        <v>62720</v>
      </c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62720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62720</v>
      </c>
      <c r="I192" s="41">
        <f>I177+I183+SUM(I188:I191)</f>
        <v>1621858</v>
      </c>
      <c r="J192" s="41">
        <f>J183</f>
        <v>124436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32758275</v>
      </c>
      <c r="G193" s="47">
        <f>G112+G140+G169+G192</f>
        <v>927422</v>
      </c>
      <c r="H193" s="47">
        <f>H112+H140+H169+H192</f>
        <v>1937035</v>
      </c>
      <c r="I193" s="47">
        <f>I112+I140+I169+I192</f>
        <v>1621858</v>
      </c>
      <c r="J193" s="47">
        <f>J112+J140+J192</f>
        <v>125652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3730403+139671</f>
        <v>3870074</v>
      </c>
      <c r="G197" s="18">
        <f>1002052+857622+85363</f>
        <v>1945037</v>
      </c>
      <c r="H197" s="18">
        <f>2061+181588</f>
        <v>183649</v>
      </c>
      <c r="I197" s="18">
        <f>92510+129374</f>
        <v>221884</v>
      </c>
      <c r="J197" s="18">
        <f>3939+135855+52000</f>
        <v>191794</v>
      </c>
      <c r="K197" s="18">
        <v>10684</v>
      </c>
      <c r="L197" s="19">
        <f>SUM(F197:K197)</f>
        <v>6423122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1306930+165428</f>
        <v>1472358</v>
      </c>
      <c r="G198" s="18">
        <f>968076+281544</f>
        <v>1249620</v>
      </c>
      <c r="H198" s="18">
        <f>325+813166</f>
        <v>813491</v>
      </c>
      <c r="I198" s="18">
        <f>20386+21233</f>
        <v>41619</v>
      </c>
      <c r="J198" s="18">
        <v>17435</v>
      </c>
      <c r="K198" s="18"/>
      <c r="L198" s="19">
        <f>SUM(F198:K198)</f>
        <v>3594523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950</v>
      </c>
      <c r="G200" s="18">
        <v>87</v>
      </c>
      <c r="H200" s="18">
        <f>395+13500</f>
        <v>13895</v>
      </c>
      <c r="I200" s="18"/>
      <c r="J200" s="18"/>
      <c r="K200" s="18"/>
      <c r="L200" s="19">
        <f>SUM(F200:K200)</f>
        <v>14932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455361+316710</f>
        <v>772071</v>
      </c>
      <c r="G202" s="18">
        <f>100306+155846</f>
        <v>256152</v>
      </c>
      <c r="H202" s="18">
        <f>1486+2561</f>
        <v>4047</v>
      </c>
      <c r="I202" s="18">
        <f>5036+6707</f>
        <v>11743</v>
      </c>
      <c r="J202" s="18"/>
      <c r="K202" s="18">
        <v>336</v>
      </c>
      <c r="L202" s="19">
        <f t="shared" ref="L202:L208" si="0">SUM(F202:K202)</f>
        <v>1044349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97400+81399</f>
        <v>178799</v>
      </c>
      <c r="G203" s="18">
        <f>17963+29039</f>
        <v>47002</v>
      </c>
      <c r="H203" s="18">
        <v>53127</v>
      </c>
      <c r="I203" s="18">
        <f>792+10603</f>
        <v>11395</v>
      </c>
      <c r="J203" s="18"/>
      <c r="K203" s="18">
        <v>689</v>
      </c>
      <c r="L203" s="19">
        <f t="shared" si="0"/>
        <v>291012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119251</v>
      </c>
      <c r="G204" s="18">
        <v>31695</v>
      </c>
      <c r="H204" s="18">
        <v>64339</v>
      </c>
      <c r="I204" s="18">
        <v>7391</v>
      </c>
      <c r="J204" s="18">
        <v>234</v>
      </c>
      <c r="K204" s="18">
        <v>4922</v>
      </c>
      <c r="L204" s="19">
        <f t="shared" si="0"/>
        <v>227832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589459+23634</f>
        <v>613093</v>
      </c>
      <c r="G205" s="18">
        <f>4491+204455</f>
        <v>208946</v>
      </c>
      <c r="H205" s="18">
        <f>39838</f>
        <v>39838</v>
      </c>
      <c r="I205" s="18">
        <f>73+1208</f>
        <v>1281</v>
      </c>
      <c r="J205" s="18">
        <v>3077</v>
      </c>
      <c r="K205" s="18"/>
      <c r="L205" s="19">
        <f t="shared" si="0"/>
        <v>866235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151388</v>
      </c>
      <c r="G206" s="18">
        <v>111838</v>
      </c>
      <c r="H206" s="18">
        <v>145832</v>
      </c>
      <c r="I206" s="18"/>
      <c r="J206" s="18">
        <v>4320</v>
      </c>
      <c r="K206" s="18"/>
      <c r="L206" s="19">
        <f t="shared" si="0"/>
        <v>413378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265072+234946</f>
        <v>500018</v>
      </c>
      <c r="G207" s="18">
        <f>226687+51217</f>
        <v>277904</v>
      </c>
      <c r="H207" s="18">
        <f>136716+21067+524</f>
        <v>158307</v>
      </c>
      <c r="I207" s="18">
        <f>37992+397552</f>
        <v>435544</v>
      </c>
      <c r="J207" s="18">
        <f>26743-1990</f>
        <v>24753</v>
      </c>
      <c r="K207" s="18">
        <v>233</v>
      </c>
      <c r="L207" s="19">
        <f t="shared" si="0"/>
        <v>1396759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37637</v>
      </c>
      <c r="G208" s="18">
        <v>3255</v>
      </c>
      <c r="H208" s="18">
        <v>952575</v>
      </c>
      <c r="I208" s="18">
        <v>376</v>
      </c>
      <c r="J208" s="18"/>
      <c r="K208" s="18"/>
      <c r="L208" s="19">
        <f t="shared" si="0"/>
        <v>993843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279147</v>
      </c>
      <c r="G209" s="18">
        <v>34971</v>
      </c>
      <c r="H209" s="18">
        <v>31</v>
      </c>
      <c r="I209" s="18"/>
      <c r="J209" s="18"/>
      <c r="K209" s="18"/>
      <c r="L209" s="19">
        <f>SUM(F209:K209)</f>
        <v>314149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7994786</v>
      </c>
      <c r="G211" s="41">
        <f t="shared" si="1"/>
        <v>4166507</v>
      </c>
      <c r="H211" s="41">
        <f t="shared" si="1"/>
        <v>2429131</v>
      </c>
      <c r="I211" s="41">
        <f t="shared" si="1"/>
        <v>731233</v>
      </c>
      <c r="J211" s="41">
        <f t="shared" si="1"/>
        <v>241613</v>
      </c>
      <c r="K211" s="41">
        <f t="shared" si="1"/>
        <v>16864</v>
      </c>
      <c r="L211" s="41">
        <f t="shared" si="1"/>
        <v>15580134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40290+1126991</f>
        <v>1167281</v>
      </c>
      <c r="G215" s="18">
        <f>258488+289053+24624</f>
        <v>572165</v>
      </c>
      <c r="H215" s="18">
        <f>52381+9229</f>
        <v>61610</v>
      </c>
      <c r="I215" s="18">
        <f>46378+26686</f>
        <v>73064</v>
      </c>
      <c r="J215" s="18">
        <f>39189+9898+15000</f>
        <v>64087</v>
      </c>
      <c r="K215" s="18">
        <f>989+3082</f>
        <v>4071</v>
      </c>
      <c r="L215" s="19">
        <f>SUM(F215:K215)</f>
        <v>1942278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47720+345987</f>
        <v>393707</v>
      </c>
      <c r="G216" s="18">
        <f>79398+279253</f>
        <v>358651</v>
      </c>
      <c r="H216" s="18">
        <f>234567+940</f>
        <v>235507</v>
      </c>
      <c r="I216" s="18">
        <f>8696+5880</f>
        <v>14576</v>
      </c>
      <c r="J216" s="18">
        <f>5030</f>
        <v>5030</v>
      </c>
      <c r="K216" s="18"/>
      <c r="L216" s="19">
        <f>SUM(F216:K216)</f>
        <v>1007471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54645</v>
      </c>
      <c r="G218" s="18">
        <v>11090</v>
      </c>
      <c r="H218" s="18">
        <v>9009</v>
      </c>
      <c r="I218" s="18">
        <v>13437</v>
      </c>
      <c r="J218" s="18">
        <f>634+2640</f>
        <v>3274</v>
      </c>
      <c r="K218" s="18">
        <v>3760</v>
      </c>
      <c r="L218" s="19">
        <f>SUM(F218:K218)</f>
        <v>95215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97972+91359</f>
        <v>189331</v>
      </c>
      <c r="G220" s="18">
        <f>44955+22625</f>
        <v>67580</v>
      </c>
      <c r="H220" s="18">
        <f>739+1517</f>
        <v>2256</v>
      </c>
      <c r="I220" s="18">
        <f>1937+8240</f>
        <v>10177</v>
      </c>
      <c r="J220" s="18">
        <v>323</v>
      </c>
      <c r="K220" s="18">
        <f>1694+11</f>
        <v>1705</v>
      </c>
      <c r="L220" s="19">
        <f t="shared" ref="L220:L226" si="2">SUM(F220:K220)</f>
        <v>271372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28096+39460</f>
        <v>67556</v>
      </c>
      <c r="G221" s="18">
        <f>8739+8377</f>
        <v>17116</v>
      </c>
      <c r="H221" s="18">
        <f>15325+6521</f>
        <v>21846</v>
      </c>
      <c r="I221" s="18">
        <f>7406+228</f>
        <v>7634</v>
      </c>
      <c r="J221" s="18">
        <v>1568</v>
      </c>
      <c r="K221" s="18">
        <v>199</v>
      </c>
      <c r="L221" s="19">
        <f t="shared" si="2"/>
        <v>115919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34399</v>
      </c>
      <c r="G222" s="18">
        <v>9143</v>
      </c>
      <c r="H222" s="18">
        <v>18559</v>
      </c>
      <c r="I222" s="18">
        <v>2132</v>
      </c>
      <c r="J222" s="18">
        <v>67</v>
      </c>
      <c r="K222" s="18">
        <v>1420</v>
      </c>
      <c r="L222" s="19">
        <f t="shared" si="2"/>
        <v>65720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122615+6818</f>
        <v>129433</v>
      </c>
      <c r="G223" s="18">
        <f>1296+37396</f>
        <v>38692</v>
      </c>
      <c r="H223" s="18">
        <v>10687</v>
      </c>
      <c r="I223" s="18">
        <f>21+216</f>
        <v>237</v>
      </c>
      <c r="J223" s="18">
        <f>2700</f>
        <v>2700</v>
      </c>
      <c r="K223" s="18">
        <v>1770</v>
      </c>
      <c r="L223" s="19">
        <f t="shared" si="2"/>
        <v>183519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43670</v>
      </c>
      <c r="G224" s="18">
        <v>32261</v>
      </c>
      <c r="H224" s="18">
        <v>42067</v>
      </c>
      <c r="I224" s="18"/>
      <c r="J224" s="18">
        <v>1247</v>
      </c>
      <c r="K224" s="18"/>
      <c r="L224" s="19">
        <f t="shared" si="2"/>
        <v>119245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67773+85044</f>
        <v>152817</v>
      </c>
      <c r="G225" s="18">
        <f>17174+65390</f>
        <v>82564</v>
      </c>
      <c r="H225" s="18">
        <f>6077+44791</f>
        <v>50868</v>
      </c>
      <c r="I225" s="18">
        <f>90254+10959</f>
        <v>101213</v>
      </c>
      <c r="J225" s="18">
        <v>12818</v>
      </c>
      <c r="K225" s="18">
        <v>67</v>
      </c>
      <c r="L225" s="19">
        <f t="shared" si="2"/>
        <v>400347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10857</v>
      </c>
      <c r="G226" s="18">
        <v>939</v>
      </c>
      <c r="H226" s="18">
        <f>274782+38632</f>
        <v>313414</v>
      </c>
      <c r="I226" s="18">
        <v>108</v>
      </c>
      <c r="J226" s="18"/>
      <c r="K226" s="18"/>
      <c r="L226" s="19">
        <f t="shared" si="2"/>
        <v>325318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80523</v>
      </c>
      <c r="G227" s="18">
        <v>10088</v>
      </c>
      <c r="H227" s="18">
        <v>9</v>
      </c>
      <c r="I227" s="18"/>
      <c r="J227" s="18"/>
      <c r="K227" s="18"/>
      <c r="L227" s="19">
        <f>SUM(F227:K227)</f>
        <v>90620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2324219</v>
      </c>
      <c r="G229" s="41">
        <f>SUM(G215:G228)</f>
        <v>1200289</v>
      </c>
      <c r="H229" s="41">
        <f>SUM(H215:H228)</f>
        <v>765832</v>
      </c>
      <c r="I229" s="41">
        <f>SUM(I215:I228)</f>
        <v>222578</v>
      </c>
      <c r="J229" s="41">
        <f>SUM(J215:J228)</f>
        <v>91114</v>
      </c>
      <c r="K229" s="41">
        <f t="shared" si="3"/>
        <v>12992</v>
      </c>
      <c r="L229" s="41">
        <f t="shared" si="3"/>
        <v>4617024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2288133+88638</f>
        <v>2376771</v>
      </c>
      <c r="G233" s="18">
        <f>635918+524808+54172</f>
        <v>1214898</v>
      </c>
      <c r="H233" s="18">
        <f>18737+115238</f>
        <v>133975</v>
      </c>
      <c r="I233" s="18">
        <f>58708+94162</f>
        <v>152870</v>
      </c>
      <c r="J233" s="18">
        <f>20097+86215+33000</f>
        <v>139312</v>
      </c>
      <c r="K233" s="18">
        <f>6780+2011</f>
        <v>8791</v>
      </c>
      <c r="L233" s="19">
        <f>SUM(F233:K233)</f>
        <v>4026617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104983+702459</f>
        <v>807442</v>
      </c>
      <c r="G234" s="18">
        <f>161201+614356</f>
        <v>775557</v>
      </c>
      <c r="H234" s="18">
        <f>516048+1908</f>
        <v>517956</v>
      </c>
      <c r="I234" s="18">
        <f>17657+12937</f>
        <v>30594</v>
      </c>
      <c r="J234" s="18">
        <v>11067</v>
      </c>
      <c r="K234" s="18"/>
      <c r="L234" s="19">
        <f>SUM(F234:K234)</f>
        <v>2142616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71229</v>
      </c>
      <c r="I235" s="18"/>
      <c r="J235" s="18"/>
      <c r="K235" s="18"/>
      <c r="L235" s="19">
        <f>SUM(F235:K235)</f>
        <v>71229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110945</v>
      </c>
      <c r="G236" s="18">
        <v>22516</v>
      </c>
      <c r="H236" s="18">
        <v>18292</v>
      </c>
      <c r="I236" s="18">
        <v>27280</v>
      </c>
      <c r="J236" s="18">
        <f>1286+5360</f>
        <v>6646</v>
      </c>
      <c r="K236" s="18">
        <v>7636</v>
      </c>
      <c r="L236" s="19">
        <f>SUM(F236:K236)</f>
        <v>193315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198912+200989</f>
        <v>399901</v>
      </c>
      <c r="G238" s="18">
        <f>98902+45936</f>
        <v>144838</v>
      </c>
      <c r="H238" s="18">
        <f>3081+1625</f>
        <v>4706</v>
      </c>
      <c r="I238" s="18">
        <f>4257+16728</f>
        <v>20985</v>
      </c>
      <c r="J238" s="18">
        <v>656</v>
      </c>
      <c r="K238" s="18">
        <f>3448+23</f>
        <v>3471</v>
      </c>
      <c r="L238" s="19">
        <f t="shared" ref="L238:L244" si="4">SUM(F238:K238)</f>
        <v>574557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80116+61811</f>
        <v>141927</v>
      </c>
      <c r="G239" s="18">
        <f>18429+17744</f>
        <v>36173</v>
      </c>
      <c r="H239" s="18">
        <f>13241+33715</f>
        <v>46956</v>
      </c>
      <c r="I239" s="18">
        <f>502+15037</f>
        <v>15539</v>
      </c>
      <c r="J239" s="18">
        <v>3185</v>
      </c>
      <c r="K239" s="18">
        <v>438</v>
      </c>
      <c r="L239" s="19">
        <f t="shared" si="4"/>
        <v>244218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75678</v>
      </c>
      <c r="G240" s="18">
        <v>20114</v>
      </c>
      <c r="H240" s="18">
        <v>40830</v>
      </c>
      <c r="I240" s="18">
        <v>4690</v>
      </c>
      <c r="J240" s="18">
        <v>148</v>
      </c>
      <c r="K240" s="18">
        <v>3123</v>
      </c>
      <c r="L240" s="19">
        <f t="shared" si="4"/>
        <v>144583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248946+14999</f>
        <v>263945</v>
      </c>
      <c r="G241" s="18">
        <f>75925+2850</f>
        <v>78775</v>
      </c>
      <c r="H241" s="18">
        <f>21698+1419</f>
        <v>23117</v>
      </c>
      <c r="I241" s="18">
        <f>46+438</f>
        <v>484</v>
      </c>
      <c r="J241" s="18">
        <v>5481</v>
      </c>
      <c r="K241" s="18">
        <v>3595</v>
      </c>
      <c r="L241" s="19">
        <f t="shared" si="4"/>
        <v>375397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96073</v>
      </c>
      <c r="G242" s="18">
        <v>70974</v>
      </c>
      <c r="H242" s="18">
        <v>92547</v>
      </c>
      <c r="I242" s="18">
        <v>2743</v>
      </c>
      <c r="J242" s="18"/>
      <c r="K242" s="18"/>
      <c r="L242" s="19">
        <f t="shared" si="4"/>
        <v>262337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149100+172666</f>
        <v>321766</v>
      </c>
      <c r="G243" s="18">
        <f>143859+34867</f>
        <v>178726</v>
      </c>
      <c r="H243" s="18">
        <f>90939+13370</f>
        <v>104309</v>
      </c>
      <c r="I243" s="18">
        <f>24110+183244</f>
        <v>207354</v>
      </c>
      <c r="J243" s="18">
        <v>26024</v>
      </c>
      <c r="K243" s="18">
        <v>148</v>
      </c>
      <c r="L243" s="19">
        <f t="shared" si="4"/>
        <v>838327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23885</v>
      </c>
      <c r="G244" s="18">
        <v>2066</v>
      </c>
      <c r="H244" s="18">
        <f>604519+110046</f>
        <v>714565</v>
      </c>
      <c r="I244" s="18">
        <v>238</v>
      </c>
      <c r="J244" s="18"/>
      <c r="K244" s="18"/>
      <c r="L244" s="19">
        <f t="shared" si="4"/>
        <v>740754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177151</v>
      </c>
      <c r="G245" s="18">
        <v>22193</v>
      </c>
      <c r="H245" s="18">
        <v>20</v>
      </c>
      <c r="I245" s="18"/>
      <c r="J245" s="18"/>
      <c r="K245" s="18"/>
      <c r="L245" s="19">
        <f>SUM(F245:K245)</f>
        <v>199364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4795484</v>
      </c>
      <c r="G247" s="41">
        <f t="shared" si="5"/>
        <v>2566830</v>
      </c>
      <c r="H247" s="41">
        <f t="shared" si="5"/>
        <v>1768502</v>
      </c>
      <c r="I247" s="41">
        <f t="shared" si="5"/>
        <v>462777</v>
      </c>
      <c r="J247" s="41">
        <f t="shared" si="5"/>
        <v>192519</v>
      </c>
      <c r="K247" s="41">
        <f t="shared" si="5"/>
        <v>27202</v>
      </c>
      <c r="L247" s="41">
        <f t="shared" si="5"/>
        <v>9813314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v>2528</v>
      </c>
      <c r="K255" s="18"/>
      <c r="L255" s="19">
        <f t="shared" si="6"/>
        <v>2528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2528</v>
      </c>
      <c r="K256" s="41">
        <f t="shared" si="7"/>
        <v>0</v>
      </c>
      <c r="L256" s="41">
        <f>SUM(F256:K256)</f>
        <v>2528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15114489</v>
      </c>
      <c r="G257" s="41">
        <f t="shared" si="8"/>
        <v>7933626</v>
      </c>
      <c r="H257" s="41">
        <f t="shared" si="8"/>
        <v>4963465</v>
      </c>
      <c r="I257" s="41">
        <f t="shared" si="8"/>
        <v>1416588</v>
      </c>
      <c r="J257" s="41">
        <f t="shared" si="8"/>
        <v>527774</v>
      </c>
      <c r="K257" s="41">
        <f t="shared" si="8"/>
        <v>57058</v>
      </c>
      <c r="L257" s="41">
        <f t="shared" si="8"/>
        <v>30013000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1621858</v>
      </c>
      <c r="L265" s="19">
        <f t="shared" si="9"/>
        <v>1621858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124436</v>
      </c>
      <c r="L266" s="19">
        <f t="shared" si="9"/>
        <v>124436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1746294</v>
      </c>
      <c r="L270" s="41">
        <f t="shared" si="9"/>
        <v>1746294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15114489</v>
      </c>
      <c r="G271" s="42">
        <f t="shared" si="11"/>
        <v>7933626</v>
      </c>
      <c r="H271" s="42">
        <f t="shared" si="11"/>
        <v>4963465</v>
      </c>
      <c r="I271" s="42">
        <f t="shared" si="11"/>
        <v>1416588</v>
      </c>
      <c r="J271" s="42">
        <f t="shared" si="11"/>
        <v>527774</v>
      </c>
      <c r="K271" s="42">
        <f t="shared" si="11"/>
        <v>1803352</v>
      </c>
      <c r="L271" s="42">
        <f t="shared" si="11"/>
        <v>31759294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34323+316</f>
        <v>34639</v>
      </c>
      <c r="G276" s="18">
        <v>6614</v>
      </c>
      <c r="H276" s="18">
        <v>406</v>
      </c>
      <c r="I276" s="18">
        <v>7874</v>
      </c>
      <c r="J276" s="18"/>
      <c r="K276" s="18"/>
      <c r="L276" s="19">
        <f>SUM(F276:K276)</f>
        <v>49533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148511</v>
      </c>
      <c r="G277" s="18">
        <v>34791</v>
      </c>
      <c r="H277" s="18"/>
      <c r="I277" s="18"/>
      <c r="J277" s="18"/>
      <c r="K277" s="18"/>
      <c r="L277" s="19">
        <f>SUM(F277:K277)</f>
        <v>183302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164208</v>
      </c>
      <c r="G279" s="18">
        <v>39429</v>
      </c>
      <c r="H279" s="18">
        <v>23443</v>
      </c>
      <c r="I279" s="18">
        <v>25449</v>
      </c>
      <c r="J279" s="18">
        <v>689</v>
      </c>
      <c r="K279" s="18"/>
      <c r="L279" s="19">
        <f>SUM(F279:K279)</f>
        <v>253218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12273</v>
      </c>
      <c r="I281" s="18">
        <v>727</v>
      </c>
      <c r="J281" s="18"/>
      <c r="K281" s="18"/>
      <c r="L281" s="19">
        <f t="shared" ref="L281:L287" si="12">SUM(F281:K281)</f>
        <v>13000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52346</v>
      </c>
      <c r="G282" s="18">
        <v>29377</v>
      </c>
      <c r="H282" s="18">
        <v>104729</v>
      </c>
      <c r="I282" s="18">
        <v>13965</v>
      </c>
      <c r="J282" s="18">
        <v>10805</v>
      </c>
      <c r="K282" s="18"/>
      <c r="L282" s="19">
        <f t="shared" si="12"/>
        <v>211222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47847</v>
      </c>
      <c r="G283" s="18">
        <v>21784</v>
      </c>
      <c r="H283" s="18">
        <v>6803</v>
      </c>
      <c r="I283" s="18">
        <v>217</v>
      </c>
      <c r="J283" s="18"/>
      <c r="K283" s="18"/>
      <c r="L283" s="19">
        <f t="shared" si="12"/>
        <v>76651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37741</v>
      </c>
      <c r="G284" s="18">
        <v>14128</v>
      </c>
      <c r="H284" s="18">
        <v>390</v>
      </c>
      <c r="I284" s="18">
        <v>1454</v>
      </c>
      <c r="J284" s="18">
        <v>4223</v>
      </c>
      <c r="K284" s="18">
        <v>11953</v>
      </c>
      <c r="L284" s="19">
        <f t="shared" si="12"/>
        <v>69889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>
        <v>437</v>
      </c>
      <c r="K287" s="18">
        <v>509</v>
      </c>
      <c r="L287" s="19">
        <f t="shared" si="12"/>
        <v>946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>
        <v>1586</v>
      </c>
      <c r="L288" s="19">
        <f>SUM(F288:K288)</f>
        <v>1586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485292</v>
      </c>
      <c r="G290" s="42">
        <f t="shared" si="13"/>
        <v>146123</v>
      </c>
      <c r="H290" s="42">
        <f t="shared" si="13"/>
        <v>148044</v>
      </c>
      <c r="I290" s="42">
        <f t="shared" si="13"/>
        <v>49686</v>
      </c>
      <c r="J290" s="42">
        <f t="shared" si="13"/>
        <v>16154</v>
      </c>
      <c r="K290" s="42">
        <f t="shared" si="13"/>
        <v>14048</v>
      </c>
      <c r="L290" s="41">
        <f t="shared" si="13"/>
        <v>859347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9901</v>
      </c>
      <c r="G295" s="18">
        <v>1908</v>
      </c>
      <c r="H295" s="18">
        <v>117</v>
      </c>
      <c r="I295" s="18">
        <v>2271</v>
      </c>
      <c r="J295" s="18"/>
      <c r="K295" s="18"/>
      <c r="L295" s="19">
        <f>SUM(F295:K295)</f>
        <v>14197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42840</v>
      </c>
      <c r="G296" s="18">
        <v>10036</v>
      </c>
      <c r="H296" s="18"/>
      <c r="I296" s="18"/>
      <c r="J296" s="18"/>
      <c r="K296" s="18"/>
      <c r="L296" s="19">
        <f>SUM(F296:K296)</f>
        <v>52876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47368</v>
      </c>
      <c r="G298" s="18">
        <v>11374</v>
      </c>
      <c r="H298" s="18">
        <v>6762</v>
      </c>
      <c r="I298" s="18">
        <v>7341</v>
      </c>
      <c r="J298" s="18">
        <v>199</v>
      </c>
      <c r="K298" s="18"/>
      <c r="L298" s="19">
        <f>SUM(F298:K298)</f>
        <v>73044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v>3540</v>
      </c>
      <c r="I300" s="18">
        <v>210</v>
      </c>
      <c r="J300" s="18"/>
      <c r="K300" s="18"/>
      <c r="L300" s="19">
        <f t="shared" ref="L300:L306" si="14">SUM(F300:K300)</f>
        <v>3750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15100</v>
      </c>
      <c r="G301" s="18">
        <v>8474</v>
      </c>
      <c r="H301" s="18">
        <v>30210</v>
      </c>
      <c r="I301" s="18">
        <v>4028</v>
      </c>
      <c r="J301" s="18">
        <v>3117</v>
      </c>
      <c r="K301" s="18"/>
      <c r="L301" s="19">
        <f t="shared" si="14"/>
        <v>60929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13802</v>
      </c>
      <c r="G302" s="18">
        <v>6284</v>
      </c>
      <c r="H302" s="18">
        <v>1962</v>
      </c>
      <c r="I302" s="18">
        <v>63</v>
      </c>
      <c r="J302" s="18"/>
      <c r="K302" s="18"/>
      <c r="L302" s="19">
        <f t="shared" si="14"/>
        <v>22111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10887</v>
      </c>
      <c r="G303" s="18">
        <v>4076</v>
      </c>
      <c r="H303" s="18">
        <v>113</v>
      </c>
      <c r="I303" s="18">
        <v>419</v>
      </c>
      <c r="J303" s="18">
        <v>1218</v>
      </c>
      <c r="K303" s="18">
        <v>3448</v>
      </c>
      <c r="L303" s="19">
        <f t="shared" si="14"/>
        <v>20161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>
        <v>126</v>
      </c>
      <c r="K306" s="18">
        <v>147</v>
      </c>
      <c r="L306" s="19">
        <f t="shared" si="14"/>
        <v>273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>
        <v>458</v>
      </c>
      <c r="L307" s="19">
        <f>SUM(F307:K307)</f>
        <v>458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139898</v>
      </c>
      <c r="G309" s="42">
        <f t="shared" si="15"/>
        <v>42152</v>
      </c>
      <c r="H309" s="42">
        <f t="shared" si="15"/>
        <v>42704</v>
      </c>
      <c r="I309" s="42">
        <f t="shared" si="15"/>
        <v>14332</v>
      </c>
      <c r="J309" s="42">
        <f t="shared" si="15"/>
        <v>4660</v>
      </c>
      <c r="K309" s="42">
        <f t="shared" si="15"/>
        <v>4053</v>
      </c>
      <c r="L309" s="41">
        <f t="shared" si="15"/>
        <v>247799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21782</v>
      </c>
      <c r="G314" s="18">
        <v>4197</v>
      </c>
      <c r="H314" s="18">
        <v>257</v>
      </c>
      <c r="I314" s="18">
        <v>4997</v>
      </c>
      <c r="J314" s="18"/>
      <c r="K314" s="18"/>
      <c r="L314" s="19">
        <f>SUM(F314:K314)</f>
        <v>31233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94248</v>
      </c>
      <c r="G315" s="18">
        <v>22079</v>
      </c>
      <c r="H315" s="18"/>
      <c r="I315" s="18"/>
      <c r="J315" s="18"/>
      <c r="K315" s="18"/>
      <c r="L315" s="19">
        <f>SUM(F315:K315)</f>
        <v>116327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104209</v>
      </c>
      <c r="G317" s="18">
        <v>25022</v>
      </c>
      <c r="H317" s="18">
        <v>14877</v>
      </c>
      <c r="I317" s="18">
        <v>16151</v>
      </c>
      <c r="J317" s="18">
        <v>437</v>
      </c>
      <c r="K317" s="18"/>
      <c r="L317" s="19">
        <f>SUM(F317:K317)</f>
        <v>160696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v>7789</v>
      </c>
      <c r="I319" s="18">
        <v>462</v>
      </c>
      <c r="J319" s="18"/>
      <c r="K319" s="18"/>
      <c r="L319" s="19">
        <f t="shared" ref="L319:L325" si="16">SUM(F319:K319)</f>
        <v>8251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33219</v>
      </c>
      <c r="G320" s="18">
        <v>18643</v>
      </c>
      <c r="H320" s="18">
        <v>66462</v>
      </c>
      <c r="I320" s="18">
        <v>8863</v>
      </c>
      <c r="J320" s="18">
        <v>6857</v>
      </c>
      <c r="K320" s="18"/>
      <c r="L320" s="19">
        <f t="shared" si="16"/>
        <v>134044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30364</v>
      </c>
      <c r="G321" s="18">
        <v>13825</v>
      </c>
      <c r="H321" s="18">
        <v>4318</v>
      </c>
      <c r="I321" s="18">
        <v>138</v>
      </c>
      <c r="J321" s="18"/>
      <c r="K321" s="18"/>
      <c r="L321" s="19">
        <f t="shared" si="16"/>
        <v>48645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23951</v>
      </c>
      <c r="G322" s="18">
        <v>8966</v>
      </c>
      <c r="H322" s="18">
        <v>248</v>
      </c>
      <c r="I322" s="18">
        <v>923</v>
      </c>
      <c r="J322" s="18">
        <v>2680</v>
      </c>
      <c r="K322" s="18">
        <v>7586</v>
      </c>
      <c r="L322" s="19">
        <f t="shared" si="16"/>
        <v>44354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>
        <v>277</v>
      </c>
      <c r="K325" s="18">
        <v>324</v>
      </c>
      <c r="L325" s="19">
        <f t="shared" si="16"/>
        <v>601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>
        <v>1007</v>
      </c>
      <c r="L326" s="19">
        <f>SUM(F326:K326)</f>
        <v>1007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307773</v>
      </c>
      <c r="G328" s="42">
        <f t="shared" si="17"/>
        <v>92732</v>
      </c>
      <c r="H328" s="42">
        <f t="shared" si="17"/>
        <v>93951</v>
      </c>
      <c r="I328" s="42">
        <f t="shared" si="17"/>
        <v>31534</v>
      </c>
      <c r="J328" s="42">
        <f t="shared" si="17"/>
        <v>10251</v>
      </c>
      <c r="K328" s="42">
        <f t="shared" si="17"/>
        <v>8917</v>
      </c>
      <c r="L328" s="41">
        <f t="shared" si="17"/>
        <v>545158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932963</v>
      </c>
      <c r="G338" s="41">
        <f t="shared" si="20"/>
        <v>281007</v>
      </c>
      <c r="H338" s="41">
        <f t="shared" si="20"/>
        <v>284699</v>
      </c>
      <c r="I338" s="41">
        <f t="shared" si="20"/>
        <v>95552</v>
      </c>
      <c r="J338" s="41">
        <f t="shared" si="20"/>
        <v>31065</v>
      </c>
      <c r="K338" s="41">
        <f t="shared" si="20"/>
        <v>27018</v>
      </c>
      <c r="L338" s="41">
        <f t="shared" si="20"/>
        <v>1652304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932963</v>
      </c>
      <c r="G352" s="41">
        <f>G338</f>
        <v>281007</v>
      </c>
      <c r="H352" s="41">
        <f>H338</f>
        <v>284699</v>
      </c>
      <c r="I352" s="41">
        <f>I338</f>
        <v>95552</v>
      </c>
      <c r="J352" s="41">
        <f>J338</f>
        <v>31065</v>
      </c>
      <c r="K352" s="47">
        <f>K338+K351</f>
        <v>27018</v>
      </c>
      <c r="L352" s="41">
        <f>L338+L351</f>
        <v>1652304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175840</v>
      </c>
      <c r="G358" s="18">
        <v>68666</v>
      </c>
      <c r="H358" s="18">
        <v>6016</v>
      </c>
      <c r="I358" s="18">
        <v>218875</v>
      </c>
      <c r="J358" s="18">
        <v>1562</v>
      </c>
      <c r="K358" s="18">
        <v>83</v>
      </c>
      <c r="L358" s="13">
        <f>SUM(F358:K358)</f>
        <v>471042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50723</v>
      </c>
      <c r="G359" s="18">
        <v>19807</v>
      </c>
      <c r="H359" s="18">
        <v>1735</v>
      </c>
      <c r="I359" s="18">
        <v>63137</v>
      </c>
      <c r="J359" s="18">
        <v>451</v>
      </c>
      <c r="K359" s="18">
        <v>24</v>
      </c>
      <c r="L359" s="19">
        <f>SUM(F359:K359)</f>
        <v>135877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111590</v>
      </c>
      <c r="G360" s="18">
        <v>43577</v>
      </c>
      <c r="H360" s="18">
        <v>3818</v>
      </c>
      <c r="I360" s="18">
        <v>138902</v>
      </c>
      <c r="J360" s="18">
        <v>992</v>
      </c>
      <c r="K360" s="18">
        <v>52</v>
      </c>
      <c r="L360" s="19">
        <f>SUM(F360:K360)</f>
        <v>298931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338153</v>
      </c>
      <c r="G362" s="47">
        <f t="shared" si="22"/>
        <v>132050</v>
      </c>
      <c r="H362" s="47">
        <f t="shared" si="22"/>
        <v>11569</v>
      </c>
      <c r="I362" s="47">
        <f t="shared" si="22"/>
        <v>420914</v>
      </c>
      <c r="J362" s="47">
        <f t="shared" si="22"/>
        <v>3005</v>
      </c>
      <c r="K362" s="47">
        <f t="shared" si="22"/>
        <v>159</v>
      </c>
      <c r="L362" s="47">
        <f t="shared" si="22"/>
        <v>905850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198049</v>
      </c>
      <c r="G367" s="18">
        <v>57130</v>
      </c>
      <c r="H367" s="18">
        <v>125685</v>
      </c>
      <c r="I367" s="56">
        <f>SUM(F367:H367)</f>
        <v>380864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20826</v>
      </c>
      <c r="G368" s="63">
        <v>6008</v>
      </c>
      <c r="H368" s="63">
        <v>13216</v>
      </c>
      <c r="I368" s="56">
        <f>SUM(F368:H368)</f>
        <v>40050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218875</v>
      </c>
      <c r="G369" s="47">
        <f>SUM(G367:G368)</f>
        <v>63138</v>
      </c>
      <c r="H369" s="47">
        <f>SUM(H367:H368)</f>
        <v>138901</v>
      </c>
      <c r="I369" s="47">
        <f>SUM(I367:I368)</f>
        <v>420914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1447989</v>
      </c>
      <c r="I379" s="18"/>
      <c r="J379" s="18"/>
      <c r="K379" s="18"/>
      <c r="L379" s="13">
        <f t="shared" si="23"/>
        <v>1447989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1447989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1447989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11</v>
      </c>
      <c r="I389" s="18"/>
      <c r="J389" s="24" t="s">
        <v>289</v>
      </c>
      <c r="K389" s="24" t="s">
        <v>289</v>
      </c>
      <c r="L389" s="56">
        <f t="shared" si="25"/>
        <v>11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11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11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>
        <v>49436</v>
      </c>
      <c r="H395" s="18">
        <v>150</v>
      </c>
      <c r="I395" s="18"/>
      <c r="J395" s="24" t="s">
        <v>289</v>
      </c>
      <c r="K395" s="24" t="s">
        <v>289</v>
      </c>
      <c r="L395" s="56">
        <f t="shared" ref="L395:L400" si="26">SUM(F395:K395)</f>
        <v>49586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159</v>
      </c>
      <c r="I396" s="18"/>
      <c r="J396" s="24" t="s">
        <v>289</v>
      </c>
      <c r="K396" s="24" t="s">
        <v>289</v>
      </c>
      <c r="L396" s="56">
        <f t="shared" si="26"/>
        <v>159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668</v>
      </c>
      <c r="I397" s="18"/>
      <c r="J397" s="24" t="s">
        <v>289</v>
      </c>
      <c r="K397" s="24" t="s">
        <v>289</v>
      </c>
      <c r="L397" s="56">
        <f t="shared" si="26"/>
        <v>668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75000</v>
      </c>
      <c r="H400" s="18">
        <v>228</v>
      </c>
      <c r="I400" s="18"/>
      <c r="J400" s="24" t="s">
        <v>289</v>
      </c>
      <c r="K400" s="24" t="s">
        <v>289</v>
      </c>
      <c r="L400" s="56">
        <f t="shared" si="26"/>
        <v>75228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124436</v>
      </c>
      <c r="H401" s="47">
        <f>SUM(H395:H400)</f>
        <v>1205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125641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124436</v>
      </c>
      <c r="H408" s="47">
        <f>H393+H401+H407</f>
        <v>1216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125652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62720</v>
      </c>
      <c r="L426" s="56">
        <f t="shared" si="29"/>
        <v>62720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62720</v>
      </c>
      <c r="L427" s="47">
        <f t="shared" si="30"/>
        <v>62720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62720</v>
      </c>
      <c r="L434" s="47">
        <f t="shared" si="32"/>
        <v>62720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4477</v>
      </c>
      <c r="G442" s="18">
        <v>478528</v>
      </c>
      <c r="H442" s="18"/>
      <c r="I442" s="56">
        <f t="shared" si="33"/>
        <v>483005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4477</v>
      </c>
      <c r="G446" s="13">
        <f>SUM(G439:G445)</f>
        <v>478528</v>
      </c>
      <c r="H446" s="13">
        <f>SUM(H439:H445)</f>
        <v>0</v>
      </c>
      <c r="I446" s="13">
        <f>SUM(I439:I445)</f>
        <v>483005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4477</v>
      </c>
      <c r="G456" s="18"/>
      <c r="H456" s="18"/>
      <c r="I456" s="56">
        <f t="shared" si="34"/>
        <v>4477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478528</v>
      </c>
      <c r="H459" s="18"/>
      <c r="I459" s="56">
        <f t="shared" si="34"/>
        <v>478528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4477</v>
      </c>
      <c r="G460" s="83">
        <f>SUM(G454:G459)</f>
        <v>478528</v>
      </c>
      <c r="H460" s="83">
        <f>SUM(H454:H459)</f>
        <v>0</v>
      </c>
      <c r="I460" s="83">
        <f>SUM(I454:I459)</f>
        <v>483005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4477</v>
      </c>
      <c r="G461" s="42">
        <f>G452+G460</f>
        <v>478528</v>
      </c>
      <c r="H461" s="42">
        <f>H452+H460</f>
        <v>0</v>
      </c>
      <c r="I461" s="42">
        <f>I452+I460</f>
        <v>483005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952265</v>
      </c>
      <c r="G465" s="18">
        <v>150229</v>
      </c>
      <c r="H465" s="18">
        <v>1729</v>
      </c>
      <c r="I465" s="18">
        <v>121356</v>
      </c>
      <c r="J465" s="18">
        <v>420073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32758275</v>
      </c>
      <c r="G468" s="18">
        <v>927422</v>
      </c>
      <c r="H468" s="18">
        <v>1937035</v>
      </c>
      <c r="I468" s="18">
        <v>1621858</v>
      </c>
      <c r="J468" s="18">
        <f>124436+1216</f>
        <v>125652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f>339432-8735</f>
        <v>330697</v>
      </c>
      <c r="G469" s="18"/>
      <c r="H469" s="18">
        <v>82838</v>
      </c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33088972</v>
      </c>
      <c r="G470" s="53">
        <f>SUM(G468:G469)</f>
        <v>927422</v>
      </c>
      <c r="H470" s="53">
        <f>SUM(H468:H469)</f>
        <v>2019873</v>
      </c>
      <c r="I470" s="53">
        <f>SUM(I468:I469)</f>
        <v>1621858</v>
      </c>
      <c r="J470" s="53">
        <f>SUM(J468:J469)</f>
        <v>125652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31759294</v>
      </c>
      <c r="G472" s="18">
        <v>905850</v>
      </c>
      <c r="H472" s="18">
        <v>1652304</v>
      </c>
      <c r="I472" s="18">
        <v>1447989</v>
      </c>
      <c r="J472" s="18">
        <v>62720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v>11721</v>
      </c>
      <c r="H473" s="18"/>
      <c r="I473" s="18">
        <v>382366</v>
      </c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31759294</v>
      </c>
      <c r="G474" s="53">
        <f>SUM(G472:G473)</f>
        <v>917571</v>
      </c>
      <c r="H474" s="53">
        <f>SUM(H472:H473)</f>
        <v>1652304</v>
      </c>
      <c r="I474" s="53">
        <f>SUM(I472:I473)</f>
        <v>1830355</v>
      </c>
      <c r="J474" s="53">
        <f>SUM(J472:J473)</f>
        <v>62720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2281943</v>
      </c>
      <c r="G476" s="53">
        <f>(G465+G470)- G474</f>
        <v>160080</v>
      </c>
      <c r="H476" s="53">
        <f>(H465+H470)- H474</f>
        <v>369298</v>
      </c>
      <c r="I476" s="53">
        <f>(I465+I470)- I474</f>
        <v>-87141</v>
      </c>
      <c r="J476" s="53">
        <f>(J465+J470)- J474</f>
        <v>483005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911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 t="s">
        <v>912</v>
      </c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1472358-76724</f>
        <v>1395634</v>
      </c>
      <c r="G521" s="18">
        <f>1249620-24539</f>
        <v>1225081</v>
      </c>
      <c r="H521" s="18">
        <f>813491-4853</f>
        <v>808638</v>
      </c>
      <c r="I521" s="18">
        <f>41619-688</f>
        <v>40931</v>
      </c>
      <c r="J521" s="18">
        <v>17435</v>
      </c>
      <c r="K521" s="18">
        <v>0</v>
      </c>
      <c r="L521" s="88">
        <f>SUM(F521:K521)</f>
        <v>3487719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393707-22132</f>
        <v>371575</v>
      </c>
      <c r="G522" s="18">
        <f>358651-7079</f>
        <v>351572</v>
      </c>
      <c r="H522" s="18">
        <f>235507-1400</f>
        <v>234107</v>
      </c>
      <c r="I522" s="18">
        <f>14576-198</f>
        <v>14378</v>
      </c>
      <c r="J522" s="18">
        <v>5030</v>
      </c>
      <c r="K522" s="18">
        <v>0</v>
      </c>
      <c r="L522" s="88">
        <f>SUM(F522:K522)</f>
        <v>976662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807442-107137</f>
        <v>700305</v>
      </c>
      <c r="G523" s="18">
        <f>775557-37640</f>
        <v>737917</v>
      </c>
      <c r="H523" s="18">
        <f>517956-3080</f>
        <v>514876</v>
      </c>
      <c r="I523" s="18">
        <f>30594-437</f>
        <v>30157</v>
      </c>
      <c r="J523" s="18">
        <v>11067</v>
      </c>
      <c r="K523" s="18">
        <v>0</v>
      </c>
      <c r="L523" s="88">
        <f>SUM(F523:K523)</f>
        <v>1994322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2467514</v>
      </c>
      <c r="G524" s="108">
        <f t="shared" ref="G524:L524" si="36">SUM(G521:G523)</f>
        <v>2314570</v>
      </c>
      <c r="H524" s="108">
        <f t="shared" si="36"/>
        <v>1557621</v>
      </c>
      <c r="I524" s="108">
        <f t="shared" si="36"/>
        <v>85466</v>
      </c>
      <c r="J524" s="108">
        <f t="shared" si="36"/>
        <v>33532</v>
      </c>
      <c r="K524" s="108">
        <f t="shared" si="36"/>
        <v>0</v>
      </c>
      <c r="L524" s="89">
        <f t="shared" si="36"/>
        <v>6458703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316710</v>
      </c>
      <c r="G526" s="18">
        <v>155958</v>
      </c>
      <c r="H526" s="18">
        <v>55490</v>
      </c>
      <c r="I526" s="18">
        <v>6707</v>
      </c>
      <c r="J526" s="18"/>
      <c r="K526" s="18">
        <v>173</v>
      </c>
      <c r="L526" s="88">
        <f>SUM(F526:K526)</f>
        <v>535038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91359</v>
      </c>
      <c r="G527" s="18">
        <v>44988</v>
      </c>
      <c r="H527" s="18">
        <v>16007</v>
      </c>
      <c r="I527" s="18">
        <v>1935</v>
      </c>
      <c r="J527" s="18"/>
      <c r="K527" s="18">
        <v>50</v>
      </c>
      <c r="L527" s="88">
        <f>SUM(F527:K527)</f>
        <v>154339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200989</v>
      </c>
      <c r="G528" s="18">
        <v>98974</v>
      </c>
      <c r="H528" s="18">
        <v>35215</v>
      </c>
      <c r="I528" s="18">
        <v>4257</v>
      </c>
      <c r="J528" s="18"/>
      <c r="K528" s="18">
        <v>110</v>
      </c>
      <c r="L528" s="88">
        <f>SUM(F528:K528)</f>
        <v>339545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609058</v>
      </c>
      <c r="G529" s="89">
        <f t="shared" ref="G529:L529" si="37">SUM(G526:G528)</f>
        <v>299920</v>
      </c>
      <c r="H529" s="89">
        <f t="shared" si="37"/>
        <v>106712</v>
      </c>
      <c r="I529" s="89">
        <f t="shared" si="37"/>
        <v>12899</v>
      </c>
      <c r="J529" s="89">
        <f t="shared" si="37"/>
        <v>0</v>
      </c>
      <c r="K529" s="89">
        <f t="shared" si="37"/>
        <v>333</v>
      </c>
      <c r="L529" s="89">
        <f t="shared" si="37"/>
        <v>1028922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76724</v>
      </c>
      <c r="G531" s="18">
        <v>24539</v>
      </c>
      <c r="H531" s="18">
        <v>4853</v>
      </c>
      <c r="I531" s="18">
        <v>688</v>
      </c>
      <c r="J531" s="18"/>
      <c r="K531" s="18"/>
      <c r="L531" s="88">
        <f>SUM(F531:K531)</f>
        <v>106804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22132</v>
      </c>
      <c r="G532" s="18">
        <v>7079</v>
      </c>
      <c r="H532" s="18">
        <v>1400</v>
      </c>
      <c r="I532" s="18">
        <v>198</v>
      </c>
      <c r="J532" s="18"/>
      <c r="K532" s="18"/>
      <c r="L532" s="88">
        <f>SUM(F532:K532)</f>
        <v>30809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107137</v>
      </c>
      <c r="G533" s="18">
        <v>37640</v>
      </c>
      <c r="H533" s="18">
        <v>3080</v>
      </c>
      <c r="I533" s="18">
        <v>437</v>
      </c>
      <c r="J533" s="18"/>
      <c r="K533" s="18"/>
      <c r="L533" s="88">
        <f>SUM(F533:K533)</f>
        <v>148294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205993</v>
      </c>
      <c r="G534" s="89">
        <f t="shared" ref="G534:L534" si="38">SUM(G531:G533)</f>
        <v>69258</v>
      </c>
      <c r="H534" s="89">
        <f t="shared" si="38"/>
        <v>9333</v>
      </c>
      <c r="I534" s="89">
        <f t="shared" si="38"/>
        <v>1323</v>
      </c>
      <c r="J534" s="89">
        <f t="shared" si="38"/>
        <v>0</v>
      </c>
      <c r="K534" s="89">
        <f t="shared" si="38"/>
        <v>0</v>
      </c>
      <c r="L534" s="89">
        <f t="shared" si="38"/>
        <v>285907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0</v>
      </c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0</v>
      </c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0</v>
      </c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403718</v>
      </c>
      <c r="I541" s="18"/>
      <c r="J541" s="18"/>
      <c r="K541" s="18"/>
      <c r="L541" s="88">
        <f>SUM(F541:K541)</f>
        <v>403718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116457</v>
      </c>
      <c r="I542" s="18"/>
      <c r="J542" s="18"/>
      <c r="K542" s="18"/>
      <c r="L542" s="88">
        <f>SUM(F542:K542)</f>
        <v>116457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256206</v>
      </c>
      <c r="I543" s="18"/>
      <c r="J543" s="18"/>
      <c r="K543" s="18"/>
      <c r="L543" s="88">
        <f>SUM(F543:K543)</f>
        <v>256206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776381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776381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3282565</v>
      </c>
      <c r="G545" s="89">
        <f t="shared" ref="G545:L545" si="41">G524+G529+G534+G539+G544</f>
        <v>2683748</v>
      </c>
      <c r="H545" s="89">
        <f t="shared" si="41"/>
        <v>2450047</v>
      </c>
      <c r="I545" s="89">
        <f t="shared" si="41"/>
        <v>99688</v>
      </c>
      <c r="J545" s="89">
        <f t="shared" si="41"/>
        <v>33532</v>
      </c>
      <c r="K545" s="89">
        <f t="shared" si="41"/>
        <v>333</v>
      </c>
      <c r="L545" s="89">
        <f t="shared" si="41"/>
        <v>8549913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3487719</v>
      </c>
      <c r="G549" s="87">
        <f>L526</f>
        <v>535038</v>
      </c>
      <c r="H549" s="87">
        <f>L531</f>
        <v>106804</v>
      </c>
      <c r="I549" s="87">
        <f>L536</f>
        <v>0</v>
      </c>
      <c r="J549" s="87">
        <f>L541</f>
        <v>403718</v>
      </c>
      <c r="K549" s="87">
        <f>SUM(F549:J549)</f>
        <v>4533279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976662</v>
      </c>
      <c r="G550" s="87">
        <f>L527</f>
        <v>154339</v>
      </c>
      <c r="H550" s="87">
        <f>L532</f>
        <v>30809</v>
      </c>
      <c r="I550" s="87">
        <f>L537</f>
        <v>0</v>
      </c>
      <c r="J550" s="87">
        <f>L542</f>
        <v>116457</v>
      </c>
      <c r="K550" s="87">
        <f>SUM(F550:J550)</f>
        <v>1278267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1994322</v>
      </c>
      <c r="G551" s="87">
        <f>L528</f>
        <v>339545</v>
      </c>
      <c r="H551" s="87">
        <f>L533</f>
        <v>148294</v>
      </c>
      <c r="I551" s="87">
        <f>L538</f>
        <v>0</v>
      </c>
      <c r="J551" s="87">
        <f>L543</f>
        <v>256206</v>
      </c>
      <c r="K551" s="87">
        <f>SUM(F551:J551)</f>
        <v>2738367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6458703</v>
      </c>
      <c r="G552" s="89">
        <f t="shared" si="42"/>
        <v>1028922</v>
      </c>
      <c r="H552" s="89">
        <f t="shared" si="42"/>
        <v>285907</v>
      </c>
      <c r="I552" s="89">
        <f t="shared" si="42"/>
        <v>0</v>
      </c>
      <c r="J552" s="89">
        <f t="shared" si="42"/>
        <v>776381</v>
      </c>
      <c r="K552" s="89">
        <f t="shared" si="42"/>
        <v>8549913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27352</v>
      </c>
      <c r="G562" s="18">
        <v>17886</v>
      </c>
      <c r="H562" s="18"/>
      <c r="I562" s="18"/>
      <c r="J562" s="18"/>
      <c r="K562" s="18"/>
      <c r="L562" s="88">
        <f>SUM(F562:K562)</f>
        <v>45238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7890</v>
      </c>
      <c r="G563" s="18">
        <v>5159</v>
      </c>
      <c r="H563" s="18"/>
      <c r="I563" s="18"/>
      <c r="J563" s="18"/>
      <c r="K563" s="18"/>
      <c r="L563" s="88">
        <f>SUM(F563:K563)</f>
        <v>13049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17358</v>
      </c>
      <c r="G564" s="18">
        <v>11351</v>
      </c>
      <c r="H564" s="18"/>
      <c r="I564" s="18"/>
      <c r="J564" s="18"/>
      <c r="K564" s="18"/>
      <c r="L564" s="88">
        <f>SUM(F564:K564)</f>
        <v>28709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52600</v>
      </c>
      <c r="G565" s="89">
        <f t="shared" si="44"/>
        <v>34396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86996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52600</v>
      </c>
      <c r="G571" s="89">
        <f t="shared" ref="G571:L571" si="46">G560+G565+G570</f>
        <v>34396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86996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15986</v>
      </c>
      <c r="I575" s="87">
        <f>SUM(F575:H575)</f>
        <v>15986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2410</v>
      </c>
      <c r="G579" s="18">
        <v>695</v>
      </c>
      <c r="H579" s="18">
        <v>1529</v>
      </c>
      <c r="I579" s="87">
        <f t="shared" si="47"/>
        <v>4634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570126</v>
      </c>
      <c r="G582" s="18">
        <v>164459</v>
      </c>
      <c r="H582" s="18">
        <v>361811</v>
      </c>
      <c r="I582" s="87">
        <f t="shared" si="47"/>
        <v>1096396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71229</v>
      </c>
      <c r="I584" s="87">
        <f t="shared" si="47"/>
        <v>71229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590125</v>
      </c>
      <c r="I591" s="18">
        <v>188587</v>
      </c>
      <c r="J591" s="18">
        <v>411774</v>
      </c>
      <c r="K591" s="104">
        <f t="shared" ref="K591:K597" si="48">SUM(H591:J591)</f>
        <v>1190486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403718</v>
      </c>
      <c r="I592" s="18">
        <v>116457</v>
      </c>
      <c r="J592" s="18">
        <v>256206</v>
      </c>
      <c r="K592" s="104">
        <f t="shared" si="48"/>
        <v>776381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31612</v>
      </c>
      <c r="K593" s="104">
        <f t="shared" si="48"/>
        <v>31612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20274</v>
      </c>
      <c r="J594" s="18">
        <v>41162</v>
      </c>
      <c r="K594" s="104">
        <f t="shared" si="48"/>
        <v>61436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993843</v>
      </c>
      <c r="I598" s="108">
        <f>SUM(I591:I597)</f>
        <v>325318</v>
      </c>
      <c r="J598" s="108">
        <f>SUM(J591:J597)</f>
        <v>740754</v>
      </c>
      <c r="K598" s="108">
        <f>SUM(K591:K597)</f>
        <v>2059915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189613+16154+52000</f>
        <v>257767</v>
      </c>
      <c r="I604" s="18">
        <f>73474+4660+17640</f>
        <v>95774</v>
      </c>
      <c r="J604" s="18">
        <f>154159+10251+38360</f>
        <v>202770</v>
      </c>
      <c r="K604" s="104">
        <f>SUM(H604:J604)</f>
        <v>556311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257767</v>
      </c>
      <c r="I605" s="108">
        <f>SUM(I602:I604)</f>
        <v>95774</v>
      </c>
      <c r="J605" s="108">
        <f>SUM(J602:J604)</f>
        <v>202770</v>
      </c>
      <c r="K605" s="108">
        <f>SUM(K602:K604)</f>
        <v>556311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4484</v>
      </c>
      <c r="G611" s="18">
        <v>976</v>
      </c>
      <c r="H611" s="18">
        <v>21579</v>
      </c>
      <c r="I611" s="18"/>
      <c r="J611" s="18"/>
      <c r="K611" s="18"/>
      <c r="L611" s="88">
        <f>SUM(F611:K611)</f>
        <v>27039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1294</v>
      </c>
      <c r="G612" s="18">
        <v>281</v>
      </c>
      <c r="H612" s="18">
        <v>6225</v>
      </c>
      <c r="I612" s="18"/>
      <c r="J612" s="18"/>
      <c r="K612" s="18"/>
      <c r="L612" s="88">
        <f>SUM(F612:K612)</f>
        <v>7800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2846+4896</f>
        <v>7742</v>
      </c>
      <c r="G613" s="18">
        <f>619+1876</f>
        <v>2495</v>
      </c>
      <c r="H613" s="18">
        <v>13694</v>
      </c>
      <c r="I613" s="18"/>
      <c r="J613" s="18"/>
      <c r="K613" s="18"/>
      <c r="L613" s="88">
        <f>SUM(F613:K613)</f>
        <v>23931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13520</v>
      </c>
      <c r="G614" s="108">
        <f t="shared" si="49"/>
        <v>3752</v>
      </c>
      <c r="H614" s="108">
        <f t="shared" si="49"/>
        <v>41498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58770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2523242</v>
      </c>
      <c r="H617" s="109">
        <f>SUM(F52)</f>
        <v>2523242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181542</v>
      </c>
      <c r="H618" s="109">
        <f>SUM(G52)</f>
        <v>181542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991243</v>
      </c>
      <c r="H619" s="109">
        <f>SUM(H52)</f>
        <v>991243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153511</v>
      </c>
      <c r="H620" s="109">
        <f>SUM(I52)</f>
        <v>153511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483005</v>
      </c>
      <c r="H621" s="109">
        <f>SUM(J52)</f>
        <v>483005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2281943</v>
      </c>
      <c r="H622" s="109">
        <f>F476</f>
        <v>2281943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160080</v>
      </c>
      <c r="H623" s="109">
        <f>G476</f>
        <v>160080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369298</v>
      </c>
      <c r="H624" s="109">
        <f>H476</f>
        <v>369298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-87141</v>
      </c>
      <c r="H625" s="109">
        <f>I476</f>
        <v>-87141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483005</v>
      </c>
      <c r="H626" s="109">
        <f>J476</f>
        <v>483005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32758275</v>
      </c>
      <c r="H627" s="104">
        <f>SUM(F468)</f>
        <v>32758275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927422</v>
      </c>
      <c r="H628" s="104">
        <f>SUM(G468)</f>
        <v>927422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1937035</v>
      </c>
      <c r="H629" s="104">
        <f>SUM(H468)</f>
        <v>1937035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1621858</v>
      </c>
      <c r="H630" s="104">
        <f>SUM(I468)</f>
        <v>1621858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125652</v>
      </c>
      <c r="H631" s="104">
        <f>SUM(J468)</f>
        <v>125652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31759294</v>
      </c>
      <c r="H632" s="104">
        <f>SUM(F472)</f>
        <v>31759294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1652304</v>
      </c>
      <c r="H633" s="104">
        <f>SUM(H472)</f>
        <v>1652304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420914</v>
      </c>
      <c r="H634" s="104">
        <f>I369</f>
        <v>420914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905850</v>
      </c>
      <c r="H635" s="104">
        <f>SUM(G472)</f>
        <v>905850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1447989</v>
      </c>
      <c r="H636" s="104">
        <f>SUM(I472)</f>
        <v>1447989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125652</v>
      </c>
      <c r="H637" s="164">
        <f>SUM(J468)</f>
        <v>125652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62720</v>
      </c>
      <c r="H638" s="164">
        <f>SUM(J472)</f>
        <v>62720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4477</v>
      </c>
      <c r="H639" s="104">
        <f>SUM(F461)</f>
        <v>4477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478528</v>
      </c>
      <c r="H640" s="104">
        <f>SUM(G461)</f>
        <v>478528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483005</v>
      </c>
      <c r="H642" s="104">
        <f>SUM(I461)</f>
        <v>483005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1216</v>
      </c>
      <c r="H644" s="104">
        <f>H408</f>
        <v>1216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124436</v>
      </c>
      <c r="H645" s="104">
        <f>G408</f>
        <v>124436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125652</v>
      </c>
      <c r="H646" s="104">
        <f>L408</f>
        <v>125652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2059915</v>
      </c>
      <c r="H647" s="104">
        <f>L208+L226+L244</f>
        <v>2059915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556311</v>
      </c>
      <c r="H648" s="104">
        <f>(J257+J338)-(J255+J336)</f>
        <v>556311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993843</v>
      </c>
      <c r="H649" s="104">
        <f>H598</f>
        <v>993843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325318</v>
      </c>
      <c r="H650" s="104">
        <f>I598</f>
        <v>325318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740754</v>
      </c>
      <c r="H651" s="104">
        <f>J598</f>
        <v>740754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1621858</v>
      </c>
      <c r="H654" s="104">
        <f>K265+K346</f>
        <v>1621858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124436</v>
      </c>
      <c r="H655" s="104">
        <f>K266+K347</f>
        <v>124436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16910523</v>
      </c>
      <c r="G660" s="19">
        <f>(L229+L309+L359)</f>
        <v>5000700</v>
      </c>
      <c r="H660" s="19">
        <f>(L247+L328+L360)</f>
        <v>10657403</v>
      </c>
      <c r="I660" s="19">
        <f>SUM(F660:H660)</f>
        <v>32568626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230457.24000000002</v>
      </c>
      <c r="G661" s="19">
        <f>(L359/IF(SUM(L358:L360)=0,1,SUM(L358:L360))*(SUM(G97:G110)))</f>
        <v>66477.805375062089</v>
      </c>
      <c r="H661" s="19">
        <f>(L360/IF(SUM(L358:L360)=0,1,SUM(L358:L360))*(SUM(G97:G110)))</f>
        <v>146251.95462493791</v>
      </c>
      <c r="I661" s="19">
        <f>SUM(F661:H661)</f>
        <v>443187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994352</v>
      </c>
      <c r="G662" s="19">
        <f>(L226+L306)-(J226+J306)</f>
        <v>325465</v>
      </c>
      <c r="H662" s="19">
        <f>(L244+L325)-(J244+J325)</f>
        <v>741078</v>
      </c>
      <c r="I662" s="19">
        <f>SUM(F662:H662)</f>
        <v>2060895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857342</v>
      </c>
      <c r="G663" s="199">
        <f>SUM(G575:G587)+SUM(I602:I604)+L612</f>
        <v>268728</v>
      </c>
      <c r="H663" s="199">
        <f>SUM(H575:H587)+SUM(J602:J604)+L613</f>
        <v>677256</v>
      </c>
      <c r="I663" s="19">
        <f>SUM(F663:H663)</f>
        <v>1803326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14828371.76</v>
      </c>
      <c r="G664" s="19">
        <f>G660-SUM(G661:G663)</f>
        <v>4340029.1946249381</v>
      </c>
      <c r="H664" s="19">
        <f>H660-SUM(H661:H663)</f>
        <v>9092817.0453750622</v>
      </c>
      <c r="I664" s="19">
        <f>I660-SUM(I661:I663)</f>
        <v>28261218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905.61</v>
      </c>
      <c r="G665" s="248">
        <v>265.08999999999997</v>
      </c>
      <c r="H665" s="248">
        <v>552.21</v>
      </c>
      <c r="I665" s="19">
        <f>SUM(F665:H665)</f>
        <v>1722.91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16373.9</v>
      </c>
      <c r="G667" s="19">
        <f>ROUND(G664/G665,2)</f>
        <v>16371.91</v>
      </c>
      <c r="H667" s="19">
        <f>ROUND(H664/H665,2)</f>
        <v>16466.23</v>
      </c>
      <c r="I667" s="19">
        <f>ROUND(I664/I665,2)</f>
        <v>16403.189999999999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-17.11</v>
      </c>
      <c r="I670" s="19">
        <f>SUM(F670:H670)</f>
        <v>-17.11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16373.9</v>
      </c>
      <c r="G672" s="19">
        <f>ROUND((G664+G669)/(G665+G670),2)</f>
        <v>16371.91</v>
      </c>
      <c r="H672" s="19">
        <f>ROUND((H664+H669)/(H665+H670),2)</f>
        <v>16992.740000000002</v>
      </c>
      <c r="I672" s="19">
        <f>ROUND((I664+I669)/(I665+I670),2)</f>
        <v>16567.72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Monadnock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7480448</v>
      </c>
      <c r="C9" s="229">
        <f>'DOE25'!G197+'DOE25'!G215+'DOE25'!G233+'DOE25'!G276+'DOE25'!G295+'DOE25'!G314</f>
        <v>3744819</v>
      </c>
    </row>
    <row r="10" spans="1:3" x14ac:dyDescent="0.2">
      <c r="A10" t="s">
        <v>779</v>
      </c>
      <c r="B10" s="240">
        <v>6973086</v>
      </c>
      <c r="C10" s="240">
        <f>3376888+164159</f>
        <v>3541047</v>
      </c>
    </row>
    <row r="11" spans="1:3" x14ac:dyDescent="0.2">
      <c r="A11" t="s">
        <v>780</v>
      </c>
      <c r="B11" s="240">
        <v>261434</v>
      </c>
      <c r="C11" s="240">
        <v>102110</v>
      </c>
    </row>
    <row r="12" spans="1:3" x14ac:dyDescent="0.2">
      <c r="A12" t="s">
        <v>781</v>
      </c>
      <c r="B12" s="240">
        <v>245928</v>
      </c>
      <c r="C12" s="240">
        <v>101662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7480448</v>
      </c>
      <c r="C13" s="231">
        <f>SUM(C10:C12)</f>
        <v>3744819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2959106</v>
      </c>
      <c r="C18" s="229">
        <f>'DOE25'!G198+'DOE25'!G216+'DOE25'!G234+'DOE25'!G277+'DOE25'!G296+'DOE25'!G315</f>
        <v>2450734</v>
      </c>
    </row>
    <row r="19" spans="1:3" x14ac:dyDescent="0.2">
      <c r="A19" t="s">
        <v>779</v>
      </c>
      <c r="B19" s="240">
        <f>1138593+76608+186900</f>
        <v>1402101</v>
      </c>
      <c r="C19" s="240">
        <v>563409</v>
      </c>
    </row>
    <row r="20" spans="1:3" x14ac:dyDescent="0.2">
      <c r="A20" t="s">
        <v>780</v>
      </c>
      <c r="B20" s="240">
        <v>1408576</v>
      </c>
      <c r="C20" s="240">
        <v>1813185</v>
      </c>
    </row>
    <row r="21" spans="1:3" x14ac:dyDescent="0.2">
      <c r="A21" t="s">
        <v>781</v>
      </c>
      <c r="B21" s="240">
        <v>148429</v>
      </c>
      <c r="C21" s="240">
        <v>74140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2959106</v>
      </c>
      <c r="C22" s="231">
        <f>SUM(C19:C21)</f>
        <v>2450734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482325</v>
      </c>
      <c r="C36" s="235">
        <f>'DOE25'!G200+'DOE25'!G218+'DOE25'!G236+'DOE25'!G279+'DOE25'!G298+'DOE25'!G317</f>
        <v>109518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482325</v>
      </c>
      <c r="C39" s="240">
        <v>109518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482325</v>
      </c>
      <c r="C40" s="231">
        <f>SUM(C37:C39)</f>
        <v>109518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36" sqref="D3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Monadnock Regional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19511318</v>
      </c>
      <c r="D5" s="20">
        <f>SUM('DOE25'!L197:L200)+SUM('DOE25'!L215:L218)+SUM('DOE25'!L233:L236)-F5-G5</f>
        <v>19037731</v>
      </c>
      <c r="E5" s="243"/>
      <c r="F5" s="255">
        <f>SUM('DOE25'!J197:J200)+SUM('DOE25'!J215:J218)+SUM('DOE25'!J233:J236)</f>
        <v>438645</v>
      </c>
      <c r="G5" s="53">
        <f>SUM('DOE25'!K197:K200)+SUM('DOE25'!K215:K218)+SUM('DOE25'!K233:K236)</f>
        <v>34942</v>
      </c>
      <c r="H5" s="259"/>
    </row>
    <row r="6" spans="1:9" x14ac:dyDescent="0.2">
      <c r="A6" s="32">
        <v>2100</v>
      </c>
      <c r="B6" t="s">
        <v>801</v>
      </c>
      <c r="C6" s="245">
        <f t="shared" si="0"/>
        <v>1890278</v>
      </c>
      <c r="D6" s="20">
        <f>'DOE25'!L202+'DOE25'!L220+'DOE25'!L238-F6-G6</f>
        <v>1883787</v>
      </c>
      <c r="E6" s="243"/>
      <c r="F6" s="255">
        <f>'DOE25'!J202+'DOE25'!J220+'DOE25'!J238</f>
        <v>979</v>
      </c>
      <c r="G6" s="53">
        <f>'DOE25'!K202+'DOE25'!K220+'DOE25'!K238</f>
        <v>5512</v>
      </c>
      <c r="H6" s="259"/>
    </row>
    <row r="7" spans="1:9" x14ac:dyDescent="0.2">
      <c r="A7" s="32">
        <v>2200</v>
      </c>
      <c r="B7" t="s">
        <v>834</v>
      </c>
      <c r="C7" s="245">
        <f t="shared" si="0"/>
        <v>651149</v>
      </c>
      <c r="D7" s="20">
        <f>'DOE25'!L203+'DOE25'!L221+'DOE25'!L239-F7-G7</f>
        <v>645070</v>
      </c>
      <c r="E7" s="243"/>
      <c r="F7" s="255">
        <f>'DOE25'!J203+'DOE25'!J221+'DOE25'!J239</f>
        <v>4753</v>
      </c>
      <c r="G7" s="53">
        <f>'DOE25'!K203+'DOE25'!K221+'DOE25'!K239</f>
        <v>1326</v>
      </c>
      <c r="H7" s="259"/>
    </row>
    <row r="8" spans="1:9" x14ac:dyDescent="0.2">
      <c r="A8" s="32">
        <v>2300</v>
      </c>
      <c r="B8" t="s">
        <v>802</v>
      </c>
      <c r="C8" s="245">
        <f t="shared" si="0"/>
        <v>142516</v>
      </c>
      <c r="D8" s="243"/>
      <c r="E8" s="20">
        <f>'DOE25'!L204+'DOE25'!L222+'DOE25'!L240-F8-G8-D9-D11</f>
        <v>132602</v>
      </c>
      <c r="F8" s="255">
        <f>'DOE25'!J204+'DOE25'!J222+'DOE25'!J240</f>
        <v>449</v>
      </c>
      <c r="G8" s="53">
        <f>'DOE25'!K204+'DOE25'!K222+'DOE25'!K240</f>
        <v>9465</v>
      </c>
      <c r="H8" s="259"/>
    </row>
    <row r="9" spans="1:9" x14ac:dyDescent="0.2">
      <c r="A9" s="32">
        <v>2310</v>
      </c>
      <c r="B9" t="s">
        <v>818</v>
      </c>
      <c r="C9" s="245">
        <f t="shared" si="0"/>
        <v>40698</v>
      </c>
      <c r="D9" s="244">
        <v>40698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25337</v>
      </c>
      <c r="D10" s="243"/>
      <c r="E10" s="244">
        <v>25337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254921</v>
      </c>
      <c r="D11" s="244">
        <f>254921</f>
        <v>254921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1425151</v>
      </c>
      <c r="D12" s="20">
        <f>'DOE25'!L205+'DOE25'!L223+'DOE25'!L241-F12-G12</f>
        <v>1408528</v>
      </c>
      <c r="E12" s="243"/>
      <c r="F12" s="255">
        <f>'DOE25'!J205+'DOE25'!J223+'DOE25'!J241</f>
        <v>11258</v>
      </c>
      <c r="G12" s="53">
        <f>'DOE25'!K205+'DOE25'!K223+'DOE25'!K241</f>
        <v>5365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794960</v>
      </c>
      <c r="D13" s="243"/>
      <c r="E13" s="20">
        <f>'DOE25'!L206+'DOE25'!L224+'DOE25'!L242-F13-G13</f>
        <v>789393</v>
      </c>
      <c r="F13" s="255">
        <f>'DOE25'!J206+'DOE25'!J224+'DOE25'!J242</f>
        <v>5567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2635433</v>
      </c>
      <c r="D14" s="20">
        <f>'DOE25'!L207+'DOE25'!L225+'DOE25'!L243-F14-G14</f>
        <v>2571390</v>
      </c>
      <c r="E14" s="243"/>
      <c r="F14" s="255">
        <f>'DOE25'!J207+'DOE25'!J225+'DOE25'!J243</f>
        <v>63595</v>
      </c>
      <c r="G14" s="53">
        <f>'DOE25'!K207+'DOE25'!K225+'DOE25'!K243</f>
        <v>448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2059915</v>
      </c>
      <c r="D15" s="20">
        <f>'DOE25'!L208+'DOE25'!L226+'DOE25'!L244-F15-G15</f>
        <v>2059915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604133</v>
      </c>
      <c r="D16" s="243"/>
      <c r="E16" s="20">
        <f>'DOE25'!L209+'DOE25'!L227+'DOE25'!L245-F16-G16</f>
        <v>604133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2528</v>
      </c>
      <c r="D22" s="243"/>
      <c r="E22" s="243"/>
      <c r="F22" s="255">
        <f>'DOE25'!L255+'DOE25'!L336</f>
        <v>2528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524986</v>
      </c>
      <c r="D29" s="20">
        <f>'DOE25'!L358+'DOE25'!L359+'DOE25'!L360-'DOE25'!I367-F29-G29</f>
        <v>521822</v>
      </c>
      <c r="E29" s="243"/>
      <c r="F29" s="255">
        <f>'DOE25'!J358+'DOE25'!J359+'DOE25'!J360</f>
        <v>3005</v>
      </c>
      <c r="G29" s="53">
        <f>'DOE25'!K358+'DOE25'!K359+'DOE25'!K360</f>
        <v>159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1652304</v>
      </c>
      <c r="D31" s="20">
        <f>'DOE25'!L290+'DOE25'!L309+'DOE25'!L328+'DOE25'!L333+'DOE25'!L334+'DOE25'!L335-F31-G31</f>
        <v>1594221</v>
      </c>
      <c r="E31" s="243"/>
      <c r="F31" s="255">
        <f>'DOE25'!J290+'DOE25'!J309+'DOE25'!J328+'DOE25'!J333+'DOE25'!J334+'DOE25'!J335</f>
        <v>31065</v>
      </c>
      <c r="G31" s="53">
        <f>'DOE25'!K290+'DOE25'!K309+'DOE25'!K328+'DOE25'!K333+'DOE25'!K334+'DOE25'!K335</f>
        <v>27018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30018083</v>
      </c>
      <c r="E33" s="246">
        <f>SUM(E5:E31)</f>
        <v>1551465</v>
      </c>
      <c r="F33" s="246">
        <f>SUM(F5:F31)</f>
        <v>561844</v>
      </c>
      <c r="G33" s="246">
        <f>SUM(G5:G31)</f>
        <v>84235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1551465</v>
      </c>
      <c r="E35" s="249"/>
    </row>
    <row r="36" spans="2:8" ht="12" thickTop="1" x14ac:dyDescent="0.2">
      <c r="B36" t="s">
        <v>815</v>
      </c>
      <c r="D36" s="20">
        <f>D33</f>
        <v>30018083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Monadnock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1800310</v>
      </c>
      <c r="D8" s="95">
        <f>'DOE25'!G9</f>
        <v>12361</v>
      </c>
      <c r="E8" s="95">
        <f>'DOE25'!H9</f>
        <v>88222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685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599342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107344</v>
      </c>
      <c r="E11" s="95">
        <f>'DOE25'!H12</f>
        <v>0</v>
      </c>
      <c r="F11" s="95">
        <f>'DOE25'!I12</f>
        <v>153511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26542</v>
      </c>
      <c r="D12" s="95">
        <f>'DOE25'!G13</f>
        <v>21837</v>
      </c>
      <c r="E12" s="95">
        <f>'DOE25'!H13</f>
        <v>903021</v>
      </c>
      <c r="F12" s="95">
        <f>'DOE25'!I13</f>
        <v>0</v>
      </c>
      <c r="G12" s="95">
        <f>'DOE25'!J13</f>
        <v>483005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96363</v>
      </c>
      <c r="D13" s="95">
        <f>'DOE25'!G14</f>
        <v>40000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2523242</v>
      </c>
      <c r="D18" s="41">
        <f>SUM(D8:D17)</f>
        <v>181542</v>
      </c>
      <c r="E18" s="41">
        <f>SUM(E8:E17)</f>
        <v>991243</v>
      </c>
      <c r="F18" s="41">
        <f>SUM(F8:F17)</f>
        <v>153511</v>
      </c>
      <c r="G18" s="41">
        <f>SUM(G8:G17)</f>
        <v>483005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1726</v>
      </c>
      <c r="E21" s="95">
        <f>'DOE25'!H22</f>
        <v>525271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11305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241299</v>
      </c>
      <c r="D23" s="95">
        <f>'DOE25'!G24</f>
        <v>19736</v>
      </c>
      <c r="E23" s="95">
        <f>'DOE25'!H24</f>
        <v>85369</v>
      </c>
      <c r="F23" s="95">
        <f>'DOE25'!I24</f>
        <v>240652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241299</v>
      </c>
      <c r="D31" s="41">
        <f>SUM(D21:D30)</f>
        <v>21462</v>
      </c>
      <c r="E31" s="41">
        <f>SUM(E21:E30)</f>
        <v>621945</v>
      </c>
      <c r="F31" s="41">
        <f>SUM(F21:F30)</f>
        <v>240652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372664</v>
      </c>
      <c r="D42" s="95">
        <f>'DOE25'!G43</f>
        <v>160080</v>
      </c>
      <c r="E42" s="95">
        <f>'DOE25'!H43</f>
        <v>369298</v>
      </c>
      <c r="F42" s="95">
        <f>'DOE25'!I43</f>
        <v>0</v>
      </c>
      <c r="G42" s="95">
        <f>'DOE25'!J43</f>
        <v>4477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-87141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478528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1909279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2281943</v>
      </c>
      <c r="D50" s="41">
        <f>SUM(D34:D49)</f>
        <v>160080</v>
      </c>
      <c r="E50" s="41">
        <f>SUM(E34:E49)</f>
        <v>369298</v>
      </c>
      <c r="F50" s="41">
        <f>SUM(F34:F49)</f>
        <v>-87141</v>
      </c>
      <c r="G50" s="41">
        <f>SUM(G34:G49)</f>
        <v>483005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2523242</v>
      </c>
      <c r="D51" s="41">
        <f>D50+D31</f>
        <v>181542</v>
      </c>
      <c r="E51" s="41">
        <f>E50+E31</f>
        <v>991243</v>
      </c>
      <c r="F51" s="41">
        <f>F50+F31</f>
        <v>153511</v>
      </c>
      <c r="G51" s="41">
        <f>G50+G31</f>
        <v>483005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17678178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393919</v>
      </c>
      <c r="D57" s="24" t="s">
        <v>289</v>
      </c>
      <c r="E57" s="95">
        <f>'DOE25'!H79</f>
        <v>140192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1216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443187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840383</v>
      </c>
      <c r="D61" s="95">
        <f>SUM('DOE25'!G98:G110)</f>
        <v>0</v>
      </c>
      <c r="E61" s="95">
        <f>SUM('DOE25'!H98:H110)</f>
        <v>75505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1234302</v>
      </c>
      <c r="D62" s="130">
        <f>SUM(D57:D61)</f>
        <v>443187</v>
      </c>
      <c r="E62" s="130">
        <f>SUM(E57:E61)</f>
        <v>215697</v>
      </c>
      <c r="F62" s="130">
        <f>SUM(F57:F61)</f>
        <v>0</v>
      </c>
      <c r="G62" s="130">
        <f>SUM(G57:G61)</f>
        <v>1216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18912480</v>
      </c>
      <c r="D63" s="22">
        <f>D56+D62</f>
        <v>443187</v>
      </c>
      <c r="E63" s="22">
        <f>E56+E62</f>
        <v>215697</v>
      </c>
      <c r="F63" s="22">
        <f>F56+F62</f>
        <v>0</v>
      </c>
      <c r="G63" s="22">
        <f>G56+G62</f>
        <v>1216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9754554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2604474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3898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12362926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630701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408278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7509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2292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1046488</v>
      </c>
      <c r="D78" s="130">
        <f>SUM(D72:D77)</f>
        <v>2292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13409414</v>
      </c>
      <c r="D81" s="130">
        <f>SUM(D79:D80)+D78+D70</f>
        <v>2292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80173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356208</v>
      </c>
      <c r="D88" s="95">
        <f>SUM('DOE25'!G153:G161)</f>
        <v>481943</v>
      </c>
      <c r="E88" s="95">
        <f>SUM('DOE25'!H153:H161)</f>
        <v>1658618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436381</v>
      </c>
      <c r="D91" s="131">
        <f>SUM(D85:D90)</f>
        <v>481943</v>
      </c>
      <c r="E91" s="131">
        <f>SUM(E85:E90)</f>
        <v>1658618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1621858</v>
      </c>
      <c r="G96" s="95">
        <f>'DOE25'!J179</f>
        <v>124436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62720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62720</v>
      </c>
      <c r="F103" s="86">
        <f>SUM(F93:F102)</f>
        <v>1621858</v>
      </c>
      <c r="G103" s="86">
        <f>SUM(G93:G102)</f>
        <v>124436</v>
      </c>
    </row>
    <row r="104" spans="1:7" ht="12.75" thickTop="1" thickBot="1" x14ac:dyDescent="0.25">
      <c r="A104" s="33" t="s">
        <v>765</v>
      </c>
      <c r="C104" s="86">
        <f>C63+C81+C91+C103</f>
        <v>32758275</v>
      </c>
      <c r="D104" s="86">
        <f>D63+D81+D91+D103</f>
        <v>927422</v>
      </c>
      <c r="E104" s="86">
        <f>E63+E81+E91+E103</f>
        <v>1937035</v>
      </c>
      <c r="F104" s="86">
        <f>F63+F81+F91+F103</f>
        <v>1621858</v>
      </c>
      <c r="G104" s="86">
        <f>G63+G81+G103</f>
        <v>125652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12392017</v>
      </c>
      <c r="D109" s="24" t="s">
        <v>289</v>
      </c>
      <c r="E109" s="95">
        <f>('DOE25'!L276)+('DOE25'!L295)+('DOE25'!L314)</f>
        <v>94963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6744610</v>
      </c>
      <c r="D110" s="24" t="s">
        <v>289</v>
      </c>
      <c r="E110" s="95">
        <f>('DOE25'!L277)+('DOE25'!L296)+('DOE25'!L315)</f>
        <v>352505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71229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303462</v>
      </c>
      <c r="D112" s="24" t="s">
        <v>289</v>
      </c>
      <c r="E112" s="95">
        <f>+('DOE25'!L279)+('DOE25'!L298)+('DOE25'!L317)</f>
        <v>486958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19511318</v>
      </c>
      <c r="D115" s="86">
        <f>SUM(D109:D114)</f>
        <v>0</v>
      </c>
      <c r="E115" s="86">
        <f>SUM(E109:E114)</f>
        <v>934426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1890278</v>
      </c>
      <c r="D118" s="24" t="s">
        <v>289</v>
      </c>
      <c r="E118" s="95">
        <f>+('DOE25'!L281)+('DOE25'!L300)+('DOE25'!L319)</f>
        <v>25001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651149</v>
      </c>
      <c r="D119" s="24" t="s">
        <v>289</v>
      </c>
      <c r="E119" s="95">
        <f>+('DOE25'!L282)+('DOE25'!L301)+('DOE25'!L320)</f>
        <v>406195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438135</v>
      </c>
      <c r="D120" s="24" t="s">
        <v>289</v>
      </c>
      <c r="E120" s="95">
        <f>+('DOE25'!L283)+('DOE25'!L302)+('DOE25'!L321)</f>
        <v>147407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1425151</v>
      </c>
      <c r="D121" s="24" t="s">
        <v>289</v>
      </c>
      <c r="E121" s="95">
        <f>+('DOE25'!L284)+('DOE25'!L303)+('DOE25'!L322)</f>
        <v>134404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794960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2635433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2059915</v>
      </c>
      <c r="D124" s="24" t="s">
        <v>289</v>
      </c>
      <c r="E124" s="95">
        <f>+('DOE25'!L287)+('DOE25'!L306)+('DOE25'!L325)</f>
        <v>1820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604133</v>
      </c>
      <c r="D125" s="24" t="s">
        <v>289</v>
      </c>
      <c r="E125" s="95">
        <f>+('DOE25'!L288)+('DOE25'!L307)+('DOE25'!L326)</f>
        <v>3051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905850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10499154</v>
      </c>
      <c r="D128" s="86">
        <f>SUM(D118:D127)</f>
        <v>905850</v>
      </c>
      <c r="E128" s="86">
        <f>SUM(E118:E127)</f>
        <v>717878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2528</v>
      </c>
      <c r="D130" s="24" t="s">
        <v>289</v>
      </c>
      <c r="E130" s="129">
        <f>'DOE25'!L336</f>
        <v>0</v>
      </c>
      <c r="F130" s="129">
        <f>SUM('DOE25'!L374:'DOE25'!L380)</f>
        <v>1447989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62720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1621858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125641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-1216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1748822</v>
      </c>
      <c r="D144" s="141">
        <f>SUM(D130:D143)</f>
        <v>0</v>
      </c>
      <c r="E144" s="141">
        <f>SUM(E130:E143)</f>
        <v>0</v>
      </c>
      <c r="F144" s="141">
        <f>SUM(F130:F143)</f>
        <v>1447989</v>
      </c>
      <c r="G144" s="141">
        <f>SUM(G130:G143)</f>
        <v>62720</v>
      </c>
    </row>
    <row r="145" spans="1:9" ht="12.75" thickTop="1" thickBot="1" x14ac:dyDescent="0.25">
      <c r="A145" s="33" t="s">
        <v>244</v>
      </c>
      <c r="C145" s="86">
        <f>(C115+C128+C144)</f>
        <v>31759294</v>
      </c>
      <c r="D145" s="86">
        <f>(D115+D128+D144)</f>
        <v>905850</v>
      </c>
      <c r="E145" s="86">
        <f>(E115+E128+E144)</f>
        <v>1652304</v>
      </c>
      <c r="F145" s="86">
        <f>(F115+F128+F144)</f>
        <v>1447989</v>
      </c>
      <c r="G145" s="86">
        <f>(G115+G128+G144)</f>
        <v>62720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E57" sqref="E5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Monadnock Regional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16374</v>
      </c>
    </row>
    <row r="5" spans="1:4" x14ac:dyDescent="0.2">
      <c r="B5" t="s">
        <v>704</v>
      </c>
      <c r="C5" s="179">
        <f>IF('DOE25'!G665+'DOE25'!G670=0,0,ROUND('DOE25'!G672,0))</f>
        <v>16372</v>
      </c>
    </row>
    <row r="6" spans="1:4" x14ac:dyDescent="0.2">
      <c r="B6" t="s">
        <v>62</v>
      </c>
      <c r="C6" s="179">
        <f>IF('DOE25'!H665+'DOE25'!H670=0,0,ROUND('DOE25'!H672,0))</f>
        <v>16993</v>
      </c>
    </row>
    <row r="7" spans="1:4" x14ac:dyDescent="0.2">
      <c r="B7" t="s">
        <v>705</v>
      </c>
      <c r="C7" s="179">
        <f>IF('DOE25'!I665+'DOE25'!I670=0,0,ROUND('DOE25'!I672,0))</f>
        <v>16568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12486980</v>
      </c>
      <c r="D10" s="182">
        <f>ROUND((C10/$C$28)*100,1)</f>
        <v>38.9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7097115</v>
      </c>
      <c r="D11" s="182">
        <f>ROUND((C11/$C$28)*100,1)</f>
        <v>22.1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71229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790420</v>
      </c>
      <c r="D13" s="182">
        <f>ROUND((C13/$C$28)*100,1)</f>
        <v>2.5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1915279</v>
      </c>
      <c r="D15" s="182">
        <f t="shared" ref="D15:D27" si="0">ROUND((C15/$C$28)*100,1)</f>
        <v>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1057344</v>
      </c>
      <c r="D16" s="182">
        <f t="shared" si="0"/>
        <v>3.3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1192726</v>
      </c>
      <c r="D17" s="182">
        <f t="shared" si="0"/>
        <v>3.7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1559555</v>
      </c>
      <c r="D18" s="182">
        <f t="shared" si="0"/>
        <v>4.9000000000000004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794960</v>
      </c>
      <c r="D19" s="182">
        <f t="shared" si="0"/>
        <v>2.5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2635433</v>
      </c>
      <c r="D20" s="182">
        <f t="shared" si="0"/>
        <v>8.1999999999999993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2061735</v>
      </c>
      <c r="D21" s="182">
        <f t="shared" si="0"/>
        <v>6.4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462663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32125439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1450517</v>
      </c>
    </row>
    <row r="30" spans="1:4" x14ac:dyDescent="0.2">
      <c r="B30" s="187" t="s">
        <v>729</v>
      </c>
      <c r="C30" s="180">
        <f>SUM(C28:C29)</f>
        <v>33575956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17678178</v>
      </c>
      <c r="D35" s="182">
        <f t="shared" ref="D35:D40" si="1">ROUND((C35/$C$41)*100,1)</f>
        <v>50.3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1451215</v>
      </c>
      <c r="D36" s="182">
        <f t="shared" si="1"/>
        <v>4.0999999999999996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12359028</v>
      </c>
      <c r="D37" s="182">
        <f t="shared" si="1"/>
        <v>35.200000000000003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1052678</v>
      </c>
      <c r="D38" s="182">
        <f t="shared" si="1"/>
        <v>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2576942</v>
      </c>
      <c r="D39" s="182">
        <f t="shared" si="1"/>
        <v>7.3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35118041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7" sqref="C7:M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Monadnock Regional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3</v>
      </c>
      <c r="B6" s="219">
        <v>23</v>
      </c>
      <c r="C6" s="284" t="s">
        <v>913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2014-11-03T13:45:04Z</cp:lastPrinted>
  <dcterms:created xsi:type="dcterms:W3CDTF">1997-12-04T19:04:30Z</dcterms:created>
  <dcterms:modified xsi:type="dcterms:W3CDTF">2014-12-05T16:32:54Z</dcterms:modified>
</cp:coreProperties>
</file>