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5200" windowHeight="121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" i="1" l="1"/>
  <c r="F468" i="1"/>
  <c r="J465" i="1"/>
  <c r="J468" i="1"/>
  <c r="G442" i="1"/>
  <c r="H48" i="1"/>
  <c r="B20" i="12" l="1"/>
  <c r="B21" i="12"/>
  <c r="B19" i="12"/>
  <c r="B12" i="12"/>
  <c r="H604" i="1"/>
  <c r="J591" i="1"/>
  <c r="H591" i="1"/>
  <c r="H594" i="1"/>
  <c r="H580" i="1"/>
  <c r="H541" i="1"/>
  <c r="H521" i="1"/>
  <c r="H523" i="1"/>
  <c r="F368" i="1"/>
  <c r="F367" i="1"/>
  <c r="H358" i="1"/>
  <c r="G132" i="1"/>
  <c r="G97" i="1"/>
  <c r="G203" i="1"/>
  <c r="G197" i="1"/>
  <c r="F197" i="1"/>
  <c r="J276" i="1" l="1"/>
  <c r="I276" i="1"/>
  <c r="H276" i="1"/>
  <c r="H155" i="1"/>
  <c r="H244" i="1"/>
  <c r="H207" i="1"/>
  <c r="K207" i="1"/>
  <c r="J207" i="1"/>
  <c r="I207" i="1"/>
  <c r="F207" i="1"/>
  <c r="H203" i="1"/>
  <c r="I202" i="1"/>
  <c r="H202" i="1"/>
  <c r="G202" i="1"/>
  <c r="H200" i="1"/>
  <c r="H234" i="1"/>
  <c r="H197" i="1"/>
  <c r="F110" i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20" i="10"/>
  <c r="L250" i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E122" i="2"/>
  <c r="E123" i="2"/>
  <c r="E124" i="2"/>
  <c r="C125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G257" i="1" s="1"/>
  <c r="G271" i="1" s="1"/>
  <c r="H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H644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G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C26" i="10"/>
  <c r="D62" i="2"/>
  <c r="D18" i="2"/>
  <c r="D91" i="2"/>
  <c r="G62" i="2"/>
  <c r="E78" i="2"/>
  <c r="H112" i="1"/>
  <c r="K605" i="1"/>
  <c r="G648" i="1" s="1"/>
  <c r="K571" i="1"/>
  <c r="I169" i="1"/>
  <c r="H476" i="1"/>
  <c r="H624" i="1" s="1"/>
  <c r="I476" i="1"/>
  <c r="H625" i="1" s="1"/>
  <c r="J140" i="1"/>
  <c r="I552" i="1"/>
  <c r="H140" i="1"/>
  <c r="L560" i="1"/>
  <c r="J545" i="1"/>
  <c r="H192" i="1"/>
  <c r="L570" i="1"/>
  <c r="G36" i="2"/>
  <c r="H545" i="1"/>
  <c r="J640" i="1" l="1"/>
  <c r="J639" i="1"/>
  <c r="J476" i="1"/>
  <c r="H626" i="1" s="1"/>
  <c r="D63" i="2"/>
  <c r="C35" i="10"/>
  <c r="K352" i="1"/>
  <c r="J655" i="1"/>
  <c r="J645" i="1"/>
  <c r="J643" i="1"/>
  <c r="J644" i="1"/>
  <c r="E110" i="2"/>
  <c r="L309" i="1"/>
  <c r="F338" i="1"/>
  <c r="F352" i="1" s="1"/>
  <c r="C11" i="10"/>
  <c r="F257" i="1"/>
  <c r="F271" i="1" s="1"/>
  <c r="K598" i="1"/>
  <c r="G647" i="1" s="1"/>
  <c r="J647" i="1" s="1"/>
  <c r="K545" i="1"/>
  <c r="G545" i="1"/>
  <c r="G476" i="1"/>
  <c r="H623" i="1" s="1"/>
  <c r="J623" i="1" s="1"/>
  <c r="J634" i="1"/>
  <c r="L362" i="1"/>
  <c r="C27" i="10" s="1"/>
  <c r="H661" i="1"/>
  <c r="G112" i="1"/>
  <c r="G624" i="1"/>
  <c r="J624" i="1" s="1"/>
  <c r="D50" i="2"/>
  <c r="D51" i="2" s="1"/>
  <c r="L290" i="1"/>
  <c r="L338" i="1" s="1"/>
  <c r="E109" i="2"/>
  <c r="A13" i="12"/>
  <c r="H257" i="1"/>
  <c r="H271" i="1" s="1"/>
  <c r="C121" i="2"/>
  <c r="D7" i="13"/>
  <c r="C7" i="13" s="1"/>
  <c r="A40" i="12"/>
  <c r="C110" i="2"/>
  <c r="D5" i="13"/>
  <c r="C5" i="13" s="1"/>
  <c r="J622" i="1"/>
  <c r="J617" i="1"/>
  <c r="C115" i="2"/>
  <c r="J641" i="1"/>
  <c r="F112" i="1"/>
  <c r="C56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2" i="10"/>
  <c r="C111" i="2"/>
  <c r="E13" i="13"/>
  <c r="C13" i="13" s="1"/>
  <c r="D12" i="13"/>
  <c r="C12" i="13" s="1"/>
  <c r="C114" i="2"/>
  <c r="F661" i="1"/>
  <c r="I661" i="1" s="1"/>
  <c r="C19" i="10"/>
  <c r="C10" i="10"/>
  <c r="C85" i="2"/>
  <c r="C91" i="2" s="1"/>
  <c r="F169" i="1"/>
  <c r="C131" i="2"/>
  <c r="H25" i="13"/>
  <c r="E125" i="2"/>
  <c r="E121" i="2"/>
  <c r="E128" i="2" s="1"/>
  <c r="E112" i="2"/>
  <c r="C13" i="10"/>
  <c r="D127" i="2"/>
  <c r="D128" i="2" s="1"/>
  <c r="D145" i="2" s="1"/>
  <c r="D17" i="13"/>
  <c r="C17" i="13" s="1"/>
  <c r="C18" i="10"/>
  <c r="L247" i="1"/>
  <c r="H660" i="1" s="1"/>
  <c r="H664" i="1" s="1"/>
  <c r="F22" i="13"/>
  <c r="C22" i="13" s="1"/>
  <c r="D14" i="13"/>
  <c r="C14" i="13" s="1"/>
  <c r="I52" i="1"/>
  <c r="H620" i="1" s="1"/>
  <c r="G625" i="1"/>
  <c r="J625" i="1" s="1"/>
  <c r="G164" i="2"/>
  <c r="G156" i="2"/>
  <c r="C132" i="2"/>
  <c r="G549" i="1"/>
  <c r="L529" i="1"/>
  <c r="C16" i="10"/>
  <c r="L401" i="1"/>
  <c r="C139" i="2" s="1"/>
  <c r="L351" i="1"/>
  <c r="L229" i="1"/>
  <c r="E16" i="13"/>
  <c r="C29" i="10"/>
  <c r="D29" i="13"/>
  <c r="C29" i="13" s="1"/>
  <c r="K500" i="1"/>
  <c r="I460" i="1"/>
  <c r="I452" i="1"/>
  <c r="I461" i="1" s="1"/>
  <c r="H642" i="1" s="1"/>
  <c r="I446" i="1"/>
  <c r="G642" i="1" s="1"/>
  <c r="J642" i="1" s="1"/>
  <c r="K257" i="1"/>
  <c r="K271" i="1" s="1"/>
  <c r="G157" i="2"/>
  <c r="F81" i="2"/>
  <c r="C70" i="2"/>
  <c r="C81" i="2" s="1"/>
  <c r="C62" i="2"/>
  <c r="C18" i="2"/>
  <c r="L270" i="1"/>
  <c r="J551" i="1"/>
  <c r="J552" i="1" s="1"/>
  <c r="L544" i="1"/>
  <c r="H552" i="1"/>
  <c r="F551" i="1"/>
  <c r="L524" i="1"/>
  <c r="C32" i="10"/>
  <c r="C15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63" i="2" l="1"/>
  <c r="D104" i="2"/>
  <c r="G104" i="2"/>
  <c r="L408" i="1"/>
  <c r="C141" i="2"/>
  <c r="C144" i="2" s="1"/>
  <c r="G635" i="1"/>
  <c r="J635" i="1" s="1"/>
  <c r="G667" i="1"/>
  <c r="C36" i="10"/>
  <c r="H648" i="1"/>
  <c r="J648" i="1" s="1"/>
  <c r="E115" i="2"/>
  <c r="E145" i="2" s="1"/>
  <c r="E104" i="2"/>
  <c r="C39" i="10"/>
  <c r="F193" i="1"/>
  <c r="G627" i="1" s="1"/>
  <c r="J627" i="1" s="1"/>
  <c r="H667" i="1"/>
  <c r="H672" i="1"/>
  <c r="C6" i="10" s="1"/>
  <c r="C104" i="2"/>
  <c r="C25" i="13"/>
  <c r="H33" i="13"/>
  <c r="D31" i="13"/>
  <c r="C31" i="13" s="1"/>
  <c r="K551" i="1"/>
  <c r="C16" i="13"/>
  <c r="L352" i="1"/>
  <c r="G633" i="1" s="1"/>
  <c r="J633" i="1" s="1"/>
  <c r="L545" i="1"/>
  <c r="G552" i="1"/>
  <c r="K549" i="1"/>
  <c r="F552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K552" i="1" l="1"/>
  <c r="G637" i="1"/>
  <c r="J637" i="1" s="1"/>
  <c r="H646" i="1"/>
  <c r="J646" i="1" s="1"/>
  <c r="D33" i="13"/>
  <c r="D36" i="13" s="1"/>
  <c r="C41" i="10"/>
  <c r="D38" i="10" s="1"/>
  <c r="D37" i="10" l="1"/>
  <c r="D36" i="10"/>
  <c r="D35" i="10"/>
  <c r="D40" i="10"/>
  <c r="D39" i="10"/>
  <c r="D41" i="10" l="1"/>
  <c r="L204" i="1"/>
  <c r="C120" i="2" s="1"/>
  <c r="C128" i="2" s="1"/>
  <c r="C145" i="2" s="1"/>
  <c r="I211" i="1"/>
  <c r="I257" i="1" s="1"/>
  <c r="I271" i="1" s="1"/>
  <c r="C17" i="10" l="1"/>
  <c r="E8" i="13"/>
  <c r="L211" i="1"/>
  <c r="L257" i="1" l="1"/>
  <c r="L271" i="1" s="1"/>
  <c r="G632" i="1" s="1"/>
  <c r="F660" i="1"/>
  <c r="C8" i="13"/>
  <c r="E33" i="13"/>
  <c r="D35" i="13" s="1"/>
  <c r="C28" i="10"/>
  <c r="D17" i="10" s="1"/>
  <c r="F664" i="1" l="1"/>
  <c r="I660" i="1"/>
  <c r="I664" i="1" s="1"/>
  <c r="D13" i="10"/>
  <c r="D10" i="10"/>
  <c r="D24" i="10"/>
  <c r="D18" i="10"/>
  <c r="D22" i="10"/>
  <c r="D11" i="10"/>
  <c r="D27" i="10"/>
  <c r="D23" i="10"/>
  <c r="D21" i="10"/>
  <c r="D12" i="10"/>
  <c r="D25" i="10"/>
  <c r="D16" i="10"/>
  <c r="D20" i="10"/>
  <c r="D19" i="10"/>
  <c r="D26" i="10"/>
  <c r="D15" i="10"/>
  <c r="C30" i="10"/>
  <c r="H656" i="1"/>
  <c r="J632" i="1"/>
  <c r="D28" i="10" l="1"/>
  <c r="I667" i="1"/>
  <c r="I672" i="1"/>
  <c r="C7" i="10" s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<sst xmlns="http://schemas.openxmlformats.org/spreadsheetml/2006/main" count="3958" uniqueCount="916">
  <si>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</si>
  <si>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</si>
  <si>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</si>
  <si>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</si>
  <si>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</si>
  <si>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</si>
  <si>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</si>
  <si>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</si>
  <si>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</si>
  <si>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</si>
  <si>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</si>
  <si>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</si>
  <si>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</si>
  <si>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</si>
  <si>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</si>
  <si>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</si>
  <si>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</si>
  <si>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</si>
  <si>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</si>
  <si>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</si>
  <si>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</si>
  <si>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</si>
  <si>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</si>
  <si>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</si>
  <si>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</si>
  <si>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</si>
  <si>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</si>
  <si>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</si>
  <si>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</si>
  <si>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</si>
  <si>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</si>
  <si>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</si>
  <si>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</si>
  <si>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</si>
  <si>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</si>
  <si>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</si>
  <si>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</si>
  <si>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</si>
  <si>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</si>
  <si>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</si>
  <si>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</si>
  <si>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</si>
  <si>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</si>
  <si>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</si>
  <si>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</si>
  <si>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</si>
  <si>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</si>
  <si>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</si>
  <si>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</si>
  <si>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</si>
  <si>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</si>
  <si>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</si>
  <si>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</si>
  <si>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</si>
  <si>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</si>
  <si>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</si>
  <si>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</si>
  <si>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</si>
  <si>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</si>
  <si>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</si>
  <si>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</si>
  <si>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</si>
  <si>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</si>
  <si>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</si>
  <si>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</si>
  <si>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</si>
  <si>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</si>
  <si>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</si>
  <si>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</si>
  <si>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</si>
  <si>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</si>
  <si>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</si>
  <si>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</si>
  <si>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</si>
  <si>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</si>
  <si>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</si>
  <si>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</si>
  <si>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</si>
  <si>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</si>
  <si>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</si>
  <si>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</si>
  <si>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</si>
  <si>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</si>
  <si>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</si>
  <si>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</si>
  <si>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</si>
  <si>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</si>
  <si>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</si>
  <si>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</si>
  <si>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</si>
  <si>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</si>
  <si>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</si>
  <si>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</si>
  <si>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</si>
  <si>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</si>
  <si>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</si>
  <si>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</si>
  <si>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</si>
  <si>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</si>
  <si>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</si>
  <si>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</si>
  <si>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</si>
  <si>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</si>
  <si>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</si>
  <si>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</si>
  <si>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</si>
  <si>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</si>
  <si>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</si>
  <si>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</si>
  <si>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</si>
  <si>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</si>
  <si>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</si>
  <si>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</si>
  <si>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</si>
  <si>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</si>
  <si>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</si>
  <si>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</si>
  <si>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</si>
  <si>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</si>
  <si>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</si>
  <si>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</si>
  <si>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</si>
  <si>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</si>
  <si>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</si>
  <si>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</si>
  <si>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</si>
  <si>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</si>
  <si>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</si>
  <si>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</si>
  <si>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</si>
  <si>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</si>
  <si>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</si>
  <si>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</si>
  <si>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</si>
  <si>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</si>
  <si>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</si>
  <si>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</si>
  <si>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</si>
  <si>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</si>
  <si>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</si>
  <si>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</si>
  <si>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</si>
  <si>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</si>
  <si>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</si>
  <si>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</si>
  <si>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</si>
  <si>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</si>
  <si>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</si>
  <si>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</si>
  <si>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</si>
  <si>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</si>
  <si>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</si>
  <si>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</si>
  <si>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</si>
  <si>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</si>
  <si>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</si>
  <si>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</si>
  <si>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</si>
  <si>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</si>
  <si>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</si>
  <si>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</si>
  <si>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</si>
  <si>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</si>
  <si>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</si>
  <si>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</si>
  <si>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</si>
  <si>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</si>
  <si>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</si>
  <si>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</si>
  <si>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</si>
  <si>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</si>
  <si>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</si>
  <si>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</si>
  <si>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</si>
  <si>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</si>
  <si>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</si>
  <si>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</si>
  <si>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</si>
  <si>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</si>
  <si>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</si>
  <si>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</si>
  <si>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</si>
  <si>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</si>
  <si>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</si>
  <si>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</si>
  <si>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</si>
  <si>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</si>
  <si>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</si>
  <si>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</si>
  <si>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</si>
  <si>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</si>
  <si>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</si>
  <si>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</si>
  <si>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</si>
  <si>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</si>
  <si>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</si>
  <si>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</si>
  <si>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</si>
  <si>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</si>
  <si>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</si>
  <si>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</si>
  <si>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</si>
  <si>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</si>
  <si>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</si>
  <si>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</si>
  <si>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</si>
  <si>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</si>
  <si>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</si>
  <si>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</si>
  <si>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</si>
  <si>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</si>
  <si>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</si>
  <si>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</si>
  <si>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</si>
  <si>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</si>
  <si>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</si>
  <si>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</si>
  <si>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</si>
  <si>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</si>
  <si>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</si>
  <si>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</si>
  <si>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</si>
  <si>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</si>
  <si>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</si>
  <si>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</si>
  <si>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</si>
  <si>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</si>
  <si>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</si>
  <si>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</si>
  <si>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</si>
  <si>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</si>
  <si>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</si>
  <si>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</si>
  <si>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</si>
  <si>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</si>
  <si>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</si>
  <si>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</si>
  <si>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</si>
  <si>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</si>
  <si>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</si>
  <si>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</si>
  <si>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</si>
  <si>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</si>
  <si>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</si>
  <si>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</si>
  <si>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</si>
  <si>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</si>
  <si>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</si>
  <si>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</si>
  <si>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</si>
  <si>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</si>
  <si>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</si>
  <si>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</si>
  <si>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</si>
  <si>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</si>
  <si>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</si>
  <si>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</si>
  <si>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</si>
  <si>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</si>
  <si>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</si>
  <si>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</si>
  <si>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</si>
  <si>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</si>
  <si>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</si>
  <si>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</si>
  <si>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</si>
  <si>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</si>
  <si>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</si>
  <si>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</si>
  <si>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</si>
  <si>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</si>
  <si>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</si>
  <si>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</si>
  <si>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</si>
  <si>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</si>
  <si>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</si>
  <si>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</si>
  <si>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</si>
  <si>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</si>
  <si>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</si>
  <si>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</si>
  <si>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</si>
  <si>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</si>
  <si>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</si>
  <si>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</si>
  <si>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</si>
  <si>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</si>
  <si>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</si>
  <si>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</si>
  <si>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</si>
  <si>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</si>
  <si>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</si>
  <si>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</si>
  <si>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</si>
  <si>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</si>
  <si>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</si>
  <si>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</si>
  <si>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</si>
  <si>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</si>
  <si>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</si>
  <si>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</si>
  <si>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</si>
  <si>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</si>
  <si>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</si>
  <si>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</si>
  <si>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</si>
  <si>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</si>
  <si>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</si>
  <si>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</si>
  <si>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</si>
  <si>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</si>
  <si>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</si>
  <si>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</si>
  <si>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</si>
  <si>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</si>
  <si>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</si>
  <si>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</si>
  <si>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</si>
  <si>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</si>
  <si>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</si>
  <si>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</si>
  <si>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</si>
  <si>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</si>
  <si>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</si>
  <si>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</si>
  <si>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</si>
  <si>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</si>
  <si>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</si>
  <si>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</si>
  <si>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</si>
  <si>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</si>
  <si>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</si>
  <si>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</si>
  <si>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</si>
  <si>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</si>
  <si>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</si>
  <si>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</si>
  <si>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</si>
  <si>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</si>
  <si>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</si>
  <si>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</si>
  <si>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</si>
  <si>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</si>
  <si>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</si>
  <si>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</si>
  <si>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</si>
  <si>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</si>
  <si>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</si>
  <si>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</si>
  <si>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</si>
  <si>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</si>
  <si>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</si>
  <si>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</si>
  <si>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</si>
  <si>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</si>
  <si>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</si>
  <si>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</si>
  <si>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</si>
  <si>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</si>
  <si>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</si>
  <si>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</si>
  <si>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</si>
  <si>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</si>
  <si>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</si>
  <si>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</si>
  <si>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</si>
  <si>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</si>
  <si>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</si>
  <si>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</si>
  <si>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</si>
  <si>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</si>
  <si>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</si>
  <si>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</si>
  <si>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</si>
  <si>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</si>
  <si>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</si>
  <si>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</si>
  <si>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</si>
  <si>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</si>
  <si>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</si>
  <si>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</si>
  <si>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</si>
  <si>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</si>
  <si>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</si>
  <si>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</si>
  <si>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</si>
  <si>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</si>
  <si>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</si>
  <si>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</si>
  <si>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</si>
  <si>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</si>
  <si>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</si>
  <si>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</si>
  <si>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</si>
  <si>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</si>
  <si>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</si>
  <si>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</si>
  <si>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</si>
  <si>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</si>
  <si>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</si>
  <si>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</si>
  <si>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</si>
  <si>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</si>
  <si>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</si>
  <si>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</si>
  <si>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</si>
  <si>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</si>
  <si>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</si>
  <si>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</si>
  <si>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</si>
  <si>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</si>
  <si>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</si>
  <si>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</si>
  <si>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</si>
  <si>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</si>
  <si>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</si>
  <si>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</si>
  <si>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</si>
  <si>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</si>
  <si>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</si>
  <si>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</si>
  <si>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</si>
  <si>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</si>
  <si>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</si>
  <si>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</si>
  <si>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</si>
  <si>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</si>
  <si>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</si>
  <si>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</si>
  <si>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</si>
  <si>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</si>
  <si>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</si>
  <si>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</si>
  <si>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</si>
  <si>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</si>
  <si>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</si>
  <si>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</si>
  <si>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</si>
  <si>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</si>
  <si>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</si>
  <si>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</si>
  <si>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</si>
  <si>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</si>
  <si>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</si>
  <si>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</si>
  <si>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</si>
  <si>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</si>
  <si>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</si>
  <si>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</si>
  <si>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</si>
  <si>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</si>
  <si>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</si>
  <si>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</si>
  <si>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</si>
  <si>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</si>
  <si>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</si>
  <si>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</si>
  <si>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</si>
  <si>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</si>
  <si>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</si>
  <si>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</si>
  <si>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</si>
  <si>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</si>
  <si>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</si>
  <si>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</si>
  <si>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</si>
  <si>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</si>
  <si>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</si>
  <si>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</si>
  <si>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</si>
  <si>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</si>
  <si>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</si>
  <si>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</si>
  <si>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</si>
  <si>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</si>
  <si>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</si>
  <si>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</si>
  <si>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</si>
  <si>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</si>
  <si>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</si>
  <si>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</si>
  <si>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</si>
  <si>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</si>
  <si>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</si>
  <si>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</si>
  <si>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</si>
  <si>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</si>
  <si>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</si>
  <si>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</si>
  <si>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</si>
  <si>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</si>
  <si>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</si>
  <si>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</si>
  <si>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</si>
  <si>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</si>
  <si>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</si>
  <si>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</si>
  <si>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</si>
  <si>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</si>
  <si>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</si>
  <si>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</si>
  <si>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</si>
  <si>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</si>
  <si>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</si>
  <si>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</si>
  <si>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</si>
  <si>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</si>
  <si>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</si>
  <si>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</si>
  <si>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</si>
  <si>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</si>
  <si>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</si>
  <si>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</si>
  <si>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</si>
  <si>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</si>
  <si>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</si>
  <si>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</si>
  <si>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</si>
  <si>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</si>
  <si>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</si>
  <si>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</si>
  <si>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</si>
  <si>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</si>
  <si>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</si>
  <si>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</si>
  <si>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</si>
  <si>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</si>
  <si>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</si>
  <si>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</si>
  <si>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</si>
  <si>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</si>
  <si>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</si>
  <si>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</si>
  <si>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</si>
  <si>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</si>
  <si>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</si>
  <si>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</si>
  <si>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</si>
  <si>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</si>
  <si>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</si>
  <si>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</si>
  <si>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</si>
  <si>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</si>
  <si>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</si>
  <si>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</si>
  <si>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</si>
  <si>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</si>
  <si>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</si>
  <si>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</si>
  <si>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</si>
  <si>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</si>
  <si>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</si>
  <si>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</si>
  <si>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</si>
  <si>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</si>
  <si>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</si>
  <si>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</si>
  <si>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</si>
  <si>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</si>
  <si>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</si>
  <si>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</si>
  <si>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</si>
  <si>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</si>
  <si>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</si>
  <si>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</si>
  <si>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</si>
  <si>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</si>
  <si>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</si>
  <si>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</si>
  <si>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</si>
  <si>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</si>
  <si>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</si>
  <si>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</si>
  <si>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</si>
  <si>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</si>
  <si>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</si>
  <si>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</si>
  <si>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</si>
  <si>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</si>
  <si>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</si>
  <si>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</si>
  <si>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</si>
  <si>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</si>
  <si>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</si>
  <si>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</si>
  <si>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</si>
  <si>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</si>
  <si>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</si>
  <si>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</si>
  <si>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</si>
  <si>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</si>
  <si>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</si>
  <si>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</si>
  <si>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</si>
  <si>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</si>
  <si>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</si>
  <si>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</si>
  <si>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</si>
  <si>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</si>
  <si>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</si>
  <si>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</si>
  <si>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</si>
  <si>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</si>
  <si>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</si>
  <si>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</si>
  <si>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</si>
  <si>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</si>
  <si>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</si>
  <si>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</si>
  <si>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</si>
  <si>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</si>
  <si>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</si>
  <si>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</si>
  <si>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</si>
  <si>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</si>
  <si>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</si>
  <si>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</si>
  <si>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</si>
  <si>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</si>
  <si>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</si>
  <si>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</si>
  <si>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</si>
  <si>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</si>
  <si>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</si>
  <si>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</si>
  <si>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</si>
  <si>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</si>
  <si>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</si>
  <si>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</si>
  <si>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</si>
  <si>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</si>
  <si>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</si>
  <si>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</si>
  <si>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</si>
  <si>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</si>
  <si>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</si>
  <si>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</si>
  <si>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</si>
  <si>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</si>
  <si>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</si>
  <si>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</si>
  <si>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</si>
  <si>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</si>
  <si>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</si>
  <si>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</si>
  <si>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</si>
  <si>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</si>
  <si>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</si>
  <si>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</si>
  <si>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</si>
  <si>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</si>
  <si>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</si>
  <si>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</si>
  <si>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</si>
  <si>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</si>
  <si>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</si>
  <si>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</si>
  <si>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</si>
  <si>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</si>
  <si>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</si>
  <si>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</si>
  <si>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</si>
  <si>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</si>
  <si>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</si>
  <si>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</si>
  <si>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</si>
  <si>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</si>
  <si>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</si>
  <si>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</si>
  <si>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</si>
  <si>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</si>
  <si>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</si>
  <si>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</si>
  <si>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</si>
  <si>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</si>
  <si>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</si>
  <si>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</si>
  <si>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</si>
  <si>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</si>
  <si>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</si>
  <si>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</si>
  <si>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</si>
  <si>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</si>
  <si>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</si>
  <si>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</si>
  <si>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</si>
  <si>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</si>
  <si>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</si>
  <si>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</si>
  <si>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</si>
  <si>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</si>
  <si>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</si>
  <si>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</si>
  <si>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</si>
  <si>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</si>
  <si>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</si>
  <si>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</si>
  <si>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</si>
  <si>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</si>
  <si>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</si>
  <si>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</si>
  <si>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</si>
  <si>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</si>
  <si>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</si>
  <si>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</si>
  <si>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</si>
  <si>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</si>
  <si>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</si>
  <si>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</si>
  <si>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</si>
  <si>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</si>
  <si>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</si>
  <si>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</si>
  <si>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</si>
  <si>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</si>
  <si>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</si>
  <si>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</si>
  <si>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</si>
  <si>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</si>
  <si>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</si>
  <si>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</si>
  <si>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</si>
  <si>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</si>
  <si>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</si>
  <si>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</si>
  <si>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</si>
  <si>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</si>
  <si>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</si>
  <si>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</si>
  <si>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</si>
  <si>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</si>
  <si>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</si>
  <si>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</si>
  <si>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</si>
  <si>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</si>
  <si>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</si>
  <si>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</si>
  <si>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</si>
  <si>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</si>
  <si>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</si>
  <si>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</si>
  <si>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</si>
  <si>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</si>
  <si>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</si>
  <si>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</si>
  <si>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</si>
  <si>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</si>
  <si>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</si>
  <si>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</si>
  <si>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</si>
  <si>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</si>
  <si>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</si>
  <si>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</si>
  <si>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</si>
  <si>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</si>
  <si>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</si>
  <si>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</si>
  <si>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</si>
  <si>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</si>
  <si>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</si>
  <si>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</si>
  <si>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</si>
  <si>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</si>
  <si>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</si>
  <si>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</si>
  <si>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</si>
  <si>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</si>
  <si>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</si>
  <si>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</si>
  <si>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</si>
  <si>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</si>
  <si>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</si>
  <si>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</si>
  <si>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</si>
  <si>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</si>
  <si>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</si>
  <si>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</si>
  <si>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</si>
  <si>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</si>
  <si>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</si>
  <si>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</si>
  <si>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</si>
  <si>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</si>
  <si>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</si>
  <si>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</si>
  <si>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</si>
  <si>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</si>
  <si>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</si>
  <si>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</si>
  <si>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</si>
  <si>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</si>
  <si>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</si>
  <si>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</si>
  <si>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</si>
  <si>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</si>
  <si>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</si>
  <si>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</si>
  <si>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</si>
  <si>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</si>
  <si>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</si>
  <si>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</si>
  <si>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</si>
  <si>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</si>
  <si>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</si>
  <si>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</si>
  <si>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</si>
  <si>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</si>
  <si>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</si>
  <si>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</si>
  <si>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</si>
  <si>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</si>
  <si>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</si>
  <si>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</si>
  <si>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</si>
  <si>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</si>
  <si>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</si>
  <si>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</si>
  <si>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</si>
  <si>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</si>
  <si>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</si>
  <si>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</si>
  <si>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</si>
  <si>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</si>
  <si>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</si>
  <si>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</si>
  <si>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</si>
  <si>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</si>
  <si>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</si>
  <si>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</si>
  <si>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</si>
  <si>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</si>
  <si>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</si>
  <si>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</si>
  <si>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</si>
  <si>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</si>
  <si>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</si>
  <si>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</si>
  <si>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</si>
  <si>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</si>
  <si>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</si>
  <si>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</si>
  <si>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</si>
  <si>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</si>
  <si>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</si>
  <si>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</si>
  <si>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</si>
  <si>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</si>
  <si>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</si>
  <si>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</si>
  <si>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</si>
  <si>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</si>
  <si>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</si>
  <si>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</si>
  <si>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</si>
  <si>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</si>
  <si>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</si>
  <si>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</si>
  <si>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</si>
  <si>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</si>
  <si>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</si>
  <si>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</si>
  <si>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</si>
  <si>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</si>
  <si>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</si>
  <si>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</si>
  <si>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</si>
  <si>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</si>
  <si>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</si>
  <si>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</si>
  <si>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</si>
  <si>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</si>
  <si>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</si>
  <si>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</si>
  <si>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</si>
  <si>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</si>
  <si>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</si>
  <si>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</si>
  <si>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</si>
  <si>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</si>
  <si>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</si>
  <si>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</si>
  <si>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</si>
  <si>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</si>
  <si>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</si>
  <si>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</si>
  <si>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</si>
  <si>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</si>
  <si>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</si>
  <si>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</si>
  <si>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</si>
  <si>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</si>
  <si>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</si>
  <si>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</si>
  <si>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</si>
  <si>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</si>
  <si>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</si>
  <si>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</si>
  <si>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</si>
  <si>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</si>
  <si>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</si>
  <si>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</si>
  <si>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</si>
  <si>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</si>
  <si>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</si>
  <si>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</si>
  <si>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</si>
  <si>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</si>
  <si>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</si>
  <si>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</si>
  <si>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</si>
  <si>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</si>
  <si>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1990 Other  health holiday $43,055.55, refund supertendent seach for 2012-2013  $10,178.51, erate $6,818.36</t>
  </si>
  <si>
    <t>and misc. $1030.99  for total of   = $61,183.41</t>
  </si>
  <si>
    <t>07-01-2009</t>
  </si>
  <si>
    <t>07-01-2014</t>
  </si>
  <si>
    <t>MONROE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</si>
</sst>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399" activePane="bottomRight" state="frozen"/>
      <selection pane="topRight" activeCell="F1" sqref="F1"/>
      <selection pane="bottomLeft" activeCell="A4" sqref="A4"/>
      <selection pane="bottomRight" activeCell="F473" sqref="F47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365</v>
      </c>
      <c r="C2" s="21">
        <v>365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57076.9+100.05+100372.97</f>
        <v>157549.92000000001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4593.3</v>
      </c>
      <c r="G12" s="18">
        <v>1962.48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258230.5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1606.87</v>
      </c>
      <c r="H14" s="18">
        <v>5264.61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39790.36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201933.58000000002</v>
      </c>
      <c r="G19" s="41">
        <f>SUM(G9:G18)</f>
        <v>3569.35</v>
      </c>
      <c r="H19" s="41">
        <f>SUM(H9:H18)</f>
        <v>5264.61</v>
      </c>
      <c r="I19" s="41">
        <f>SUM(I9:I18)</f>
        <v>0</v>
      </c>
      <c r="J19" s="41">
        <f>SUM(J9:J18)</f>
        <v>258230.5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6555.79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38600.57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43443.35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82043.92</v>
      </c>
      <c r="G32" s="41">
        <f>SUM(G22:G31)</f>
        <v>0</v>
      </c>
      <c r="H32" s="41">
        <f>SUM(H22:H31)</f>
        <v>6555.79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39790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3396.85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172.5</v>
      </c>
      <c r="H48" s="18">
        <f>-1436.89+145.71</f>
        <v>-1291.18</v>
      </c>
      <c r="I48" s="18"/>
      <c r="J48" s="13">
        <f>SUM(I459)</f>
        <v>258230.5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80099.66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119889.66</v>
      </c>
      <c r="G51" s="41">
        <f>SUM(G35:G50)</f>
        <v>3569.35</v>
      </c>
      <c r="H51" s="41">
        <f>SUM(H35:H50)</f>
        <v>-1291.18</v>
      </c>
      <c r="I51" s="41">
        <f>SUM(I35:I50)</f>
        <v>0</v>
      </c>
      <c r="J51" s="41">
        <f>SUM(J35:J50)</f>
        <v>258230.5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201933.58000000002</v>
      </c>
      <c r="G52" s="41">
        <f>G51+G32</f>
        <v>3569.35</v>
      </c>
      <c r="H52" s="41">
        <f>H51+H32</f>
        <v>5264.61</v>
      </c>
      <c r="I52" s="41">
        <f>I51+I32</f>
        <v>0</v>
      </c>
      <c r="J52" s="41">
        <f>J51+J32</f>
        <v>258230.5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2320014+37260+37998</f>
        <v>2395272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2395272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271.77999999999997</v>
      </c>
      <c r="G96" s="18"/>
      <c r="H96" s="18"/>
      <c r="I96" s="18"/>
      <c r="J96" s="18">
        <v>15.94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16993.95+264.59</f>
        <v>17258.54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1300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55565.05+6818.36-1300</f>
        <v>61083.41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62655.19</v>
      </c>
      <c r="G111" s="41">
        <f>SUM(G96:G110)</f>
        <v>17258.54</v>
      </c>
      <c r="H111" s="41">
        <f>SUM(H96:H110)</f>
        <v>0</v>
      </c>
      <c r="I111" s="41">
        <f>SUM(I96:I110)</f>
        <v>0</v>
      </c>
      <c r="J111" s="41">
        <f>SUM(J96:J110)</f>
        <v>15.94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2457927.19</v>
      </c>
      <c r="G112" s="41">
        <f>G60+G111</f>
        <v>17258.54</v>
      </c>
      <c r="H112" s="41">
        <f>H60+H79+H94+H111</f>
        <v>0</v>
      </c>
      <c r="I112" s="41">
        <f>I60+I111</f>
        <v>0</v>
      </c>
      <c r="J112" s="41">
        <f>J60+J111</f>
        <v>15.94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292364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182886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475250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36398.83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542.33</f>
        <v>542.33000000000004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36398.83</v>
      </c>
      <c r="G136" s="41">
        <f>SUM(G123:G135)</f>
        <v>542.33000000000004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511648.83</v>
      </c>
      <c r="G140" s="41">
        <f>G121+SUM(G136:G137)</f>
        <v>542.33000000000004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10974.95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43658.1-10974.95</f>
        <v>32683.149999999998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18484.169999999998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4890.1099999999997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4890.1099999999997</v>
      </c>
      <c r="G162" s="41">
        <f>SUM(G150:G161)</f>
        <v>18484.169999999998</v>
      </c>
      <c r="H162" s="41">
        <f>SUM(H150:H161)</f>
        <v>43658.1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206.48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5096.5899999999992</v>
      </c>
      <c r="G169" s="41">
        <f>G147+G162+SUM(G163:G168)</f>
        <v>18484.169999999998</v>
      </c>
      <c r="H169" s="41">
        <f>H147+H162+SUM(H163:H168)</f>
        <v>43658.1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37998</v>
      </c>
      <c r="H179" s="18"/>
      <c r="I179" s="18"/>
      <c r="J179" s="18">
        <v>160000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37998</v>
      </c>
      <c r="H183" s="41">
        <f>SUM(H179:H182)</f>
        <v>0</v>
      </c>
      <c r="I183" s="41">
        <f>SUM(I179:I182)</f>
        <v>0</v>
      </c>
      <c r="J183" s="41">
        <f>SUM(J179:J182)</f>
        <v>160000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37998</v>
      </c>
      <c r="H192" s="41">
        <f>+H183+SUM(H188:H191)</f>
        <v>0</v>
      </c>
      <c r="I192" s="41">
        <f>I177+I183+SUM(I188:I191)</f>
        <v>0</v>
      </c>
      <c r="J192" s="41">
        <f>J183</f>
        <v>160000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2974672.61</v>
      </c>
      <c r="G193" s="47">
        <f>G112+G140+G169+G192</f>
        <v>74283.040000000008</v>
      </c>
      <c r="H193" s="47">
        <f>H112+H140+H169+H192</f>
        <v>43658.1</v>
      </c>
      <c r="I193" s="47">
        <f>I112+I140+I169+I192</f>
        <v>0</v>
      </c>
      <c r="J193" s="47">
        <f>J112+J140+J192</f>
        <v>160015.94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496503.94+150</f>
        <v>496653.94</v>
      </c>
      <c r="G197" s="18">
        <f>217468.37+11.49</f>
        <v>217479.86</v>
      </c>
      <c r="H197" s="18">
        <f>19308+163.49</f>
        <v>19471.490000000002</v>
      </c>
      <c r="I197" s="18">
        <v>23461.73</v>
      </c>
      <c r="J197" s="18">
        <v>29777.84</v>
      </c>
      <c r="K197" s="18">
        <v>1790</v>
      </c>
      <c r="L197" s="19">
        <f>SUM(F197:K197)</f>
        <v>788634.86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141150.23000000001</v>
      </c>
      <c r="G198" s="18">
        <v>84419.41</v>
      </c>
      <c r="H198" s="18">
        <v>67687.55</v>
      </c>
      <c r="I198" s="18">
        <v>6038.14</v>
      </c>
      <c r="J198" s="18">
        <v>2027.29</v>
      </c>
      <c r="K198" s="18">
        <v>1280.1099999999999</v>
      </c>
      <c r="L198" s="19">
        <f>SUM(F198:K198)</f>
        <v>302602.73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3625</v>
      </c>
      <c r="G200" s="18">
        <v>411.29</v>
      </c>
      <c r="H200" s="18">
        <f>34.8+1310</f>
        <v>1344.8</v>
      </c>
      <c r="I200" s="18">
        <v>1655.07</v>
      </c>
      <c r="J200" s="18">
        <v>975.96</v>
      </c>
      <c r="K200" s="18">
        <v>540</v>
      </c>
      <c r="L200" s="19">
        <f>SUM(F200:K200)</f>
        <v>8552.119999999999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19395.599999999999</v>
      </c>
      <c r="G202" s="18">
        <f>879.08</f>
        <v>879.08</v>
      </c>
      <c r="H202" s="18">
        <f>18008.05+100+21608.5+30934.84+8245.25+4212.5+390</f>
        <v>83499.14</v>
      </c>
      <c r="I202" s="18">
        <f>669.38+803.16</f>
        <v>1472.54</v>
      </c>
      <c r="J202" s="18">
        <v>0</v>
      </c>
      <c r="K202" s="18">
        <v>2931.5</v>
      </c>
      <c r="L202" s="19">
        <f t="shared" ref="L202:L208" si="0">SUM(F202:K202)</f>
        <v>108177.86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33398</v>
      </c>
      <c r="G203" s="18">
        <f>12339.75+19446.48+602.24</f>
        <v>32388.47</v>
      </c>
      <c r="H203" s="18">
        <f>4098.14</f>
        <v>4098.1400000000003</v>
      </c>
      <c r="I203" s="18">
        <v>1767.23</v>
      </c>
      <c r="J203" s="18">
        <v>500</v>
      </c>
      <c r="K203" s="18">
        <v>0</v>
      </c>
      <c r="L203" s="19">
        <f t="shared" si="0"/>
        <v>72151.839999999997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128742.29</v>
      </c>
      <c r="G204" s="18">
        <v>61941.799999999996</v>
      </c>
      <c r="H204" s="18">
        <v>65949.39</v>
      </c>
      <c r="I204" s="18">
        <v>12469.980000000001</v>
      </c>
      <c r="J204" s="18">
        <v>400</v>
      </c>
      <c r="K204" s="18">
        <v>5020</v>
      </c>
      <c r="L204" s="19">
        <f t="shared" si="0"/>
        <v>274523.45999999996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57968.36</v>
      </c>
      <c r="G205" s="18">
        <v>28016.67</v>
      </c>
      <c r="H205" s="18">
        <v>57959.7</v>
      </c>
      <c r="I205" s="18">
        <v>901.91</v>
      </c>
      <c r="J205" s="18"/>
      <c r="K205" s="18">
        <v>653.5</v>
      </c>
      <c r="L205" s="19">
        <f t="shared" si="0"/>
        <v>145500.13999999998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28939.68</f>
        <v>28939.68</v>
      </c>
      <c r="G207" s="18">
        <v>3538.3</v>
      </c>
      <c r="H207" s="18">
        <f>34465.37+1510+2000+4585.33</f>
        <v>42560.700000000004</v>
      </c>
      <c r="I207" s="18">
        <f>65040.76</f>
        <v>65040.76</v>
      </c>
      <c r="J207" s="18">
        <f>1500</f>
        <v>1500</v>
      </c>
      <c r="K207" s="18">
        <f>1553.09</f>
        <v>1553.09</v>
      </c>
      <c r="L207" s="19">
        <f t="shared" si="0"/>
        <v>143132.53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44524.619999999988</v>
      </c>
      <c r="I208" s="18"/>
      <c r="J208" s="18"/>
      <c r="K208" s="18"/>
      <c r="L208" s="19">
        <f t="shared" si="0"/>
        <v>44524.619999999988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909873.10000000009</v>
      </c>
      <c r="G211" s="41">
        <f t="shared" si="1"/>
        <v>429074.87999999995</v>
      </c>
      <c r="H211" s="41">
        <f t="shared" si="1"/>
        <v>387095.53</v>
      </c>
      <c r="I211" s="41">
        <f t="shared" si="1"/>
        <v>112807.36000000002</v>
      </c>
      <c r="J211" s="41">
        <f t="shared" si="1"/>
        <v>35181.090000000004</v>
      </c>
      <c r="K211" s="41">
        <f t="shared" si="1"/>
        <v>13768.2</v>
      </c>
      <c r="L211" s="41">
        <f t="shared" si="1"/>
        <v>1887800.16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538943</v>
      </c>
      <c r="I233" s="18"/>
      <c r="J233" s="18"/>
      <c r="K233" s="18"/>
      <c r="L233" s="19">
        <f>SUM(F233:K233)</f>
        <v>538943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13298.86+123747.25+102625</f>
        <v>239671.11</v>
      </c>
      <c r="I234" s="18"/>
      <c r="J234" s="18"/>
      <c r="K234" s="18"/>
      <c r="L234" s="19">
        <f>SUM(F234:K234)</f>
        <v>239671.11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6960</v>
      </c>
      <c r="I235" s="18"/>
      <c r="J235" s="18"/>
      <c r="K235" s="18"/>
      <c r="L235" s="19">
        <f>SUM(F235:K235)</f>
        <v>6960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43029.35+315.82</f>
        <v>43345.17</v>
      </c>
      <c r="I244" s="18"/>
      <c r="J244" s="18"/>
      <c r="K244" s="18"/>
      <c r="L244" s="19">
        <f t="shared" si="4"/>
        <v>43345.17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828919.28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828919.28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3217.15</v>
      </c>
      <c r="I255" s="18"/>
      <c r="J255" s="18"/>
      <c r="K255" s="18"/>
      <c r="L255" s="19">
        <f t="shared" si="6"/>
        <v>3217.15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3217.15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3217.15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909873.10000000009</v>
      </c>
      <c r="G257" s="41">
        <f t="shared" si="8"/>
        <v>429074.87999999995</v>
      </c>
      <c r="H257" s="41">
        <f t="shared" si="8"/>
        <v>1219231.96</v>
      </c>
      <c r="I257" s="41">
        <f t="shared" si="8"/>
        <v>112807.36000000002</v>
      </c>
      <c r="J257" s="41">
        <f t="shared" si="8"/>
        <v>35181.090000000004</v>
      </c>
      <c r="K257" s="41">
        <f t="shared" si="8"/>
        <v>13768.2</v>
      </c>
      <c r="L257" s="41">
        <f t="shared" si="8"/>
        <v>2719936.59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31887.54</v>
      </c>
      <c r="L260" s="19">
        <f>SUM(F260:K260)</f>
        <v>31887.54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4958.87</v>
      </c>
      <c r="L261" s="19">
        <f>SUM(F261:K261)</f>
        <v>4958.87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37998</v>
      </c>
      <c r="L263" s="19">
        <f>SUM(F263:K263)</f>
        <v>37998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160000</v>
      </c>
      <c r="L266" s="19">
        <f t="shared" si="9"/>
        <v>160000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234844.41</v>
      </c>
      <c r="L270" s="41">
        <f t="shared" si="9"/>
        <v>234844.41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909873.10000000009</v>
      </c>
      <c r="G271" s="42">
        <f t="shared" si="11"/>
        <v>429074.87999999995</v>
      </c>
      <c r="H271" s="42">
        <f t="shared" si="11"/>
        <v>1219231.96</v>
      </c>
      <c r="I271" s="42">
        <f t="shared" si="11"/>
        <v>112807.36000000002</v>
      </c>
      <c r="J271" s="42">
        <f t="shared" si="11"/>
        <v>35181.090000000004</v>
      </c>
      <c r="K271" s="42">
        <f t="shared" si="11"/>
        <v>248612.61000000002</v>
      </c>
      <c r="L271" s="42">
        <f t="shared" si="11"/>
        <v>2954781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7000</v>
      </c>
      <c r="G276" s="18">
        <v>535.5</v>
      </c>
      <c r="H276" s="18">
        <f>2500+290.32</f>
        <v>2790.32</v>
      </c>
      <c r="I276" s="18">
        <f>5555.97</f>
        <v>5555.97</v>
      </c>
      <c r="J276" s="18">
        <f>10799.99</f>
        <v>10799.99</v>
      </c>
      <c r="K276" s="18"/>
      <c r="L276" s="19">
        <f>SUM(F276:K276)</f>
        <v>26681.78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4519.05</v>
      </c>
      <c r="G277" s="18">
        <v>345.7</v>
      </c>
      <c r="H277" s="18"/>
      <c r="I277" s="18">
        <v>4096.93</v>
      </c>
      <c r="J277" s="18">
        <v>7792.23</v>
      </c>
      <c r="K277" s="18"/>
      <c r="L277" s="19">
        <f>SUM(F277:K277)</f>
        <v>16753.91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1120</v>
      </c>
      <c r="H282" s="18">
        <v>539.29999999999995</v>
      </c>
      <c r="I282" s="18"/>
      <c r="J282" s="18"/>
      <c r="K282" s="18"/>
      <c r="L282" s="19">
        <f t="shared" si="12"/>
        <v>1659.3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11519.05</v>
      </c>
      <c r="G290" s="42">
        <f t="shared" si="13"/>
        <v>2001.2</v>
      </c>
      <c r="H290" s="42">
        <f t="shared" si="13"/>
        <v>3329.62</v>
      </c>
      <c r="I290" s="42">
        <f t="shared" si="13"/>
        <v>9652.9000000000015</v>
      </c>
      <c r="J290" s="42">
        <f t="shared" si="13"/>
        <v>18592.22</v>
      </c>
      <c r="K290" s="42">
        <f t="shared" si="13"/>
        <v>0</v>
      </c>
      <c r="L290" s="41">
        <f t="shared" si="13"/>
        <v>45094.990000000005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11519.05</v>
      </c>
      <c r="G338" s="41">
        <f t="shared" si="20"/>
        <v>2001.2</v>
      </c>
      <c r="H338" s="41">
        <f t="shared" si="20"/>
        <v>3329.62</v>
      </c>
      <c r="I338" s="41">
        <f t="shared" si="20"/>
        <v>9652.9000000000015</v>
      </c>
      <c r="J338" s="41">
        <f t="shared" si="20"/>
        <v>18592.22</v>
      </c>
      <c r="K338" s="41">
        <f t="shared" si="20"/>
        <v>0</v>
      </c>
      <c r="L338" s="41">
        <f t="shared" si="20"/>
        <v>45094.990000000005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11519.05</v>
      </c>
      <c r="G352" s="41">
        <f>G338</f>
        <v>2001.2</v>
      </c>
      <c r="H352" s="41">
        <f>H338</f>
        <v>3329.62</v>
      </c>
      <c r="I352" s="41">
        <f>I338</f>
        <v>9652.9000000000015</v>
      </c>
      <c r="J352" s="41">
        <f>J338</f>
        <v>18592.22</v>
      </c>
      <c r="K352" s="47">
        <f>K338+K351</f>
        <v>0</v>
      </c>
      <c r="L352" s="41">
        <f>L338+L351</f>
        <v>45094.990000000005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27536.92</v>
      </c>
      <c r="G358" s="18">
        <v>22756.62</v>
      </c>
      <c r="H358" s="18">
        <f>506.38+698.34</f>
        <v>1204.72</v>
      </c>
      <c r="I358" s="18">
        <v>22458.11</v>
      </c>
      <c r="J358" s="18">
        <v>154.16999999999999</v>
      </c>
      <c r="K358" s="18"/>
      <c r="L358" s="13">
        <f>SUM(F358:K358)</f>
        <v>74110.539999999994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27536.92</v>
      </c>
      <c r="G362" s="47">
        <f t="shared" si="22"/>
        <v>22756.62</v>
      </c>
      <c r="H362" s="47">
        <f t="shared" si="22"/>
        <v>1204.72</v>
      </c>
      <c r="I362" s="47">
        <f t="shared" si="22"/>
        <v>22458.11</v>
      </c>
      <c r="J362" s="47">
        <f t="shared" si="22"/>
        <v>154.16999999999999</v>
      </c>
      <c r="K362" s="47">
        <f t="shared" si="22"/>
        <v>0</v>
      </c>
      <c r="L362" s="47">
        <f t="shared" si="22"/>
        <v>74110.539999999994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16500.4+2098.63</f>
        <v>18599.030000000002</v>
      </c>
      <c r="G367" s="18"/>
      <c r="H367" s="18"/>
      <c r="I367" s="56">
        <f>SUM(F367:H367)</f>
        <v>18599.030000000002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1407.25+2451.83</f>
        <v>3859.08</v>
      </c>
      <c r="G368" s="63"/>
      <c r="H368" s="63"/>
      <c r="I368" s="56">
        <f>SUM(F368:H368)</f>
        <v>3859.08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22458.11</v>
      </c>
      <c r="G369" s="47">
        <f>SUM(G367:G368)</f>
        <v>0</v>
      </c>
      <c r="H369" s="47">
        <f>SUM(H367:H368)</f>
        <v>0</v>
      </c>
      <c r="I369" s="47">
        <f>SUM(I367:I368)</f>
        <v>22458.11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35000</v>
      </c>
      <c r="H389" s="18">
        <v>4.28</v>
      </c>
      <c r="I389" s="18"/>
      <c r="J389" s="24" t="s">
        <v>289</v>
      </c>
      <c r="K389" s="24" t="s">
        <v>289</v>
      </c>
      <c r="L389" s="56">
        <f t="shared" si="25"/>
        <v>35004.28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35000</v>
      </c>
      <c r="H393" s="139">
        <f>SUM(H387:H392)</f>
        <v>4.28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35004.28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125000</v>
      </c>
      <c r="H397" s="18">
        <v>4.75</v>
      </c>
      <c r="I397" s="18"/>
      <c r="J397" s="24" t="s">
        <v>289</v>
      </c>
      <c r="K397" s="24" t="s">
        <v>289</v>
      </c>
      <c r="L397" s="56">
        <f t="shared" si="26"/>
        <v>125004.75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6.91</v>
      </c>
      <c r="I398" s="18"/>
      <c r="J398" s="24" t="s">
        <v>289</v>
      </c>
      <c r="K398" s="24" t="s">
        <v>289</v>
      </c>
      <c r="L398" s="56">
        <f t="shared" si="26"/>
        <v>6.91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11.66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125011.66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160000</v>
      </c>
      <c r="H408" s="47">
        <f>H393+H401+H407</f>
        <v>15.940000000000001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160015.94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57622.93</v>
      </c>
      <c r="G442" s="18">
        <f>75592.68+125014.89</f>
        <v>200607.57</v>
      </c>
      <c r="H442" s="18"/>
      <c r="I442" s="56">
        <f t="shared" si="33"/>
        <v>258230.5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57622.93</v>
      </c>
      <c r="G446" s="13">
        <f>SUM(G439:G445)</f>
        <v>200607.57</v>
      </c>
      <c r="H446" s="13">
        <f>SUM(H439:H445)</f>
        <v>0</v>
      </c>
      <c r="I446" s="13">
        <f>SUM(I439:I445)</f>
        <v>258230.5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57622.93</v>
      </c>
      <c r="G459" s="18">
        <v>200607.57</v>
      </c>
      <c r="H459" s="18"/>
      <c r="I459" s="56">
        <f t="shared" si="34"/>
        <v>258230.5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57622.93</v>
      </c>
      <c r="G460" s="83">
        <f>SUM(G454:G459)</f>
        <v>200607.57</v>
      </c>
      <c r="H460" s="83">
        <f>SUM(H454:H459)</f>
        <v>0</v>
      </c>
      <c r="I460" s="83">
        <f>SUM(I454:I459)</f>
        <v>258230.5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57622.93</v>
      </c>
      <c r="G461" s="42">
        <f>G452+G460</f>
        <v>200607.57</v>
      </c>
      <c r="H461" s="42">
        <f>H452+H460</f>
        <v>0</v>
      </c>
      <c r="I461" s="42">
        <f>I452+I460</f>
        <v>258230.5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99998.05</v>
      </c>
      <c r="G465" s="18">
        <v>3396.85</v>
      </c>
      <c r="H465" s="18">
        <v>145.71</v>
      </c>
      <c r="I465" s="18"/>
      <c r="J465" s="18">
        <f>98209.17+5.39</f>
        <v>98214.56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2936674.61+37998</f>
        <v>2974672.61</v>
      </c>
      <c r="G468" s="18">
        <v>74283.039999999994</v>
      </c>
      <c r="H468" s="18">
        <v>43658.1</v>
      </c>
      <c r="I468" s="18"/>
      <c r="J468" s="18">
        <f>160000+15.94</f>
        <v>160015.94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2974672.61</v>
      </c>
      <c r="G470" s="53">
        <f>SUM(G468:G469)</f>
        <v>74283.039999999994</v>
      </c>
      <c r="H470" s="53">
        <f>SUM(H468:H469)</f>
        <v>43658.1</v>
      </c>
      <c r="I470" s="53">
        <f>SUM(I468:I469)</f>
        <v>0</v>
      </c>
      <c r="J470" s="53">
        <f>SUM(J468:J469)</f>
        <v>160015.94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2954781</v>
      </c>
      <c r="G472" s="18">
        <v>74110.539999999994</v>
      </c>
      <c r="H472" s="18">
        <v>45094.99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2954781</v>
      </c>
      <c r="G474" s="53">
        <f>SUM(G472:G473)</f>
        <v>74110.539999999994</v>
      </c>
      <c r="H474" s="53">
        <f>SUM(H472:H473)</f>
        <v>45094.99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119889.65999999968</v>
      </c>
      <c r="G476" s="53">
        <f>(G465+G470)- G474</f>
        <v>3569.3500000000058</v>
      </c>
      <c r="H476" s="53">
        <f>(H465+H470)- H474</f>
        <v>-1291.1800000000003</v>
      </c>
      <c r="I476" s="53">
        <f>(I465+I470)- I474</f>
        <v>0</v>
      </c>
      <c r="J476" s="53">
        <f>(J465+J470)- J474</f>
        <v>258230.5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180000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36000</v>
      </c>
      <c r="G495" s="18"/>
      <c r="H495" s="18"/>
      <c r="I495" s="18"/>
      <c r="J495" s="18"/>
      <c r="K495" s="53">
        <f>SUM(F495:J495)</f>
        <v>36000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3790.36</v>
      </c>
      <c r="G496" s="18"/>
      <c r="H496" s="18"/>
      <c r="I496" s="18"/>
      <c r="J496" s="18"/>
      <c r="K496" s="53">
        <f t="shared" ref="K496:K503" si="35">SUM(F496:J496)</f>
        <v>3790.36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38520</v>
      </c>
      <c r="G497" s="18"/>
      <c r="H497" s="18"/>
      <c r="I497" s="18"/>
      <c r="J497" s="18"/>
      <c r="K497" s="53">
        <f t="shared" si="35"/>
        <v>38520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36000</v>
      </c>
      <c r="G498" s="204"/>
      <c r="H498" s="204"/>
      <c r="I498" s="204"/>
      <c r="J498" s="204"/>
      <c r="K498" s="205">
        <f t="shared" si="35"/>
        <v>36000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2520</v>
      </c>
      <c r="G499" s="18"/>
      <c r="H499" s="18"/>
      <c r="I499" s="18"/>
      <c r="J499" s="18"/>
      <c r="K499" s="53">
        <f t="shared" si="35"/>
        <v>2520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38520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38520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36000</v>
      </c>
      <c r="G501" s="204"/>
      <c r="H501" s="204"/>
      <c r="I501" s="204"/>
      <c r="J501" s="204"/>
      <c r="K501" s="205">
        <f t="shared" si="35"/>
        <v>36000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1260</v>
      </c>
      <c r="G502" s="18"/>
      <c r="H502" s="18"/>
      <c r="I502" s="18"/>
      <c r="J502" s="18"/>
      <c r="K502" s="53">
        <f t="shared" si="35"/>
        <v>1260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37260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37260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3217.15</v>
      </c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3217.15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141150.23000000001</v>
      </c>
      <c r="G521" s="18">
        <v>84419.41</v>
      </c>
      <c r="H521" s="18">
        <f>-67.31+506.74+4074.6+67754.86+1707.05</f>
        <v>73975.94</v>
      </c>
      <c r="I521" s="18">
        <v>6038.14</v>
      </c>
      <c r="J521" s="18">
        <v>2027.29</v>
      </c>
      <c r="K521" s="18">
        <v>1280.1099999999999</v>
      </c>
      <c r="L521" s="88">
        <f>SUM(F521:K521)</f>
        <v>308891.12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13298.86+123747.25+102625</f>
        <v>239671.11</v>
      </c>
      <c r="I523" s="18"/>
      <c r="J523" s="18"/>
      <c r="K523" s="18"/>
      <c r="L523" s="88">
        <f>SUM(F523:K523)</f>
        <v>239671.11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141150.23000000001</v>
      </c>
      <c r="G524" s="108">
        <f t="shared" ref="G524:L524" si="36">SUM(G521:G523)</f>
        <v>84419.41</v>
      </c>
      <c r="H524" s="108">
        <f t="shared" si="36"/>
        <v>313647.05</v>
      </c>
      <c r="I524" s="108">
        <f t="shared" si="36"/>
        <v>6038.14</v>
      </c>
      <c r="J524" s="108">
        <f t="shared" si="36"/>
        <v>2027.29</v>
      </c>
      <c r="K524" s="108">
        <f t="shared" si="36"/>
        <v>1280.1099999999999</v>
      </c>
      <c r="L524" s="89">
        <f t="shared" si="36"/>
        <v>548562.23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65001.09</v>
      </c>
      <c r="I526" s="18"/>
      <c r="J526" s="18"/>
      <c r="K526" s="18"/>
      <c r="L526" s="88">
        <f>SUM(F526:K526)</f>
        <v>65001.09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65001.09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65001.09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506.74+4074.6+1707.05</f>
        <v>6288.39</v>
      </c>
      <c r="I541" s="18"/>
      <c r="J541" s="18"/>
      <c r="K541" s="18"/>
      <c r="L541" s="88">
        <f>SUM(F541:K541)</f>
        <v>6288.39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6288.39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6288.39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141150.23000000001</v>
      </c>
      <c r="G545" s="89">
        <f t="shared" ref="G545:L545" si="41">G524+G529+G534+G539+G544</f>
        <v>84419.41</v>
      </c>
      <c r="H545" s="89">
        <f t="shared" si="41"/>
        <v>384936.53</v>
      </c>
      <c r="I545" s="89">
        <f t="shared" si="41"/>
        <v>6038.14</v>
      </c>
      <c r="J545" s="89">
        <f t="shared" si="41"/>
        <v>2027.29</v>
      </c>
      <c r="K545" s="89">
        <f t="shared" si="41"/>
        <v>1280.1099999999999</v>
      </c>
      <c r="L545" s="89">
        <f t="shared" si="41"/>
        <v>619851.71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308891.12</v>
      </c>
      <c r="G549" s="87">
        <f>L526</f>
        <v>65001.09</v>
      </c>
      <c r="H549" s="87">
        <f>L531</f>
        <v>0</v>
      </c>
      <c r="I549" s="87">
        <f>L536</f>
        <v>0</v>
      </c>
      <c r="J549" s="87">
        <f>L541</f>
        <v>6288.39</v>
      </c>
      <c r="K549" s="87">
        <f>SUM(F549:J549)</f>
        <v>380180.6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239671.11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239671.11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548562.23</v>
      </c>
      <c r="G552" s="89">
        <f t="shared" si="42"/>
        <v>65001.09</v>
      </c>
      <c r="H552" s="89">
        <f t="shared" si="42"/>
        <v>0</v>
      </c>
      <c r="I552" s="89">
        <f t="shared" si="42"/>
        <v>0</v>
      </c>
      <c r="J552" s="89">
        <f t="shared" si="42"/>
        <v>6288.39</v>
      </c>
      <c r="K552" s="89">
        <f t="shared" si="42"/>
        <v>619851.71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56993</v>
      </c>
      <c r="I575" s="87">
        <f>SUM(F575:H575)</f>
        <v>56993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481950</v>
      </c>
      <c r="I576" s="87">
        <f t="shared" ref="I576:I587" si="47">SUM(F576:H576)</f>
        <v>481950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67754.86</v>
      </c>
      <c r="G579" s="18"/>
      <c r="H579" s="18"/>
      <c r="I579" s="87">
        <f t="shared" si="47"/>
        <v>67754.86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f>123747.25+102625</f>
        <v>226372.25</v>
      </c>
      <c r="I580" s="87">
        <f t="shared" si="47"/>
        <v>226372.25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34730.8+268.18</f>
        <v>34998.980000000003</v>
      </c>
      <c r="I591" s="18"/>
      <c r="J591" s="18">
        <f>43029.35+315.82</f>
        <v>43345.17</v>
      </c>
      <c r="K591" s="104">
        <f t="shared" ref="K591:K597" si="48">SUM(H591:J591)</f>
        <v>78344.149999999994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6288.39</v>
      </c>
      <c r="I592" s="18"/>
      <c r="J592" s="18"/>
      <c r="K592" s="104">
        <f t="shared" si="48"/>
        <v>6288.39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1113+456.25</f>
        <v>1569.25</v>
      </c>
      <c r="I594" s="18"/>
      <c r="J594" s="18"/>
      <c r="K594" s="104">
        <f t="shared" si="48"/>
        <v>1569.25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1668</v>
      </c>
      <c r="I595" s="18"/>
      <c r="J595" s="18"/>
      <c r="K595" s="104">
        <f t="shared" si="48"/>
        <v>1668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44524.62</v>
      </c>
      <c r="I598" s="108">
        <f>SUM(I591:I597)</f>
        <v>0</v>
      </c>
      <c r="J598" s="108">
        <f>SUM(J591:J597)</f>
        <v>43345.17</v>
      </c>
      <c r="K598" s="108">
        <f>SUM(K591:K597)</f>
        <v>87869.79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53927.48-154.17</f>
        <v>53773.310000000005</v>
      </c>
      <c r="I604" s="18"/>
      <c r="J604" s="18"/>
      <c r="K604" s="104">
        <f>SUM(H604:J604)</f>
        <v>53773.310000000005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53773.310000000005</v>
      </c>
      <c r="I605" s="108">
        <f>SUM(I602:I604)</f>
        <v>0</v>
      </c>
      <c r="J605" s="108">
        <f>SUM(J602:J604)</f>
        <v>0</v>
      </c>
      <c r="K605" s="108">
        <f>SUM(K602:K604)</f>
        <v>53773.310000000005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201933.58000000002</v>
      </c>
      <c r="H617" s="109">
        <f>SUM(F52)</f>
        <v>201933.58000000002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3569.35</v>
      </c>
      <c r="H618" s="109">
        <f>SUM(G52)</f>
        <v>3569.35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5264.61</v>
      </c>
      <c r="H619" s="109">
        <f>SUM(H52)</f>
        <v>5264.61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258230.5</v>
      </c>
      <c r="H621" s="109">
        <f>SUM(J52)</f>
        <v>258230.5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119889.66</v>
      </c>
      <c r="H622" s="109">
        <f>F476</f>
        <v>119889.65999999968</v>
      </c>
      <c r="I622" s="121" t="s">
        <v>101</v>
      </c>
      <c r="J622" s="109">
        <f t="shared" ref="J622:J655" si="50">G622-H622</f>
        <v>3.2014213502407074E-10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3569.35</v>
      </c>
      <c r="H623" s="109">
        <f>G476</f>
        <v>3569.3500000000058</v>
      </c>
      <c r="I623" s="121" t="s">
        <v>102</v>
      </c>
      <c r="J623" s="109">
        <f t="shared" si="50"/>
        <v>-5.9117155615240335E-12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-1291.18</v>
      </c>
      <c r="H624" s="109">
        <f>H476</f>
        <v>-1291.1800000000003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258230.5</v>
      </c>
      <c r="H626" s="109">
        <f>J476</f>
        <v>258230.5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2974672.61</v>
      </c>
      <c r="H627" s="104">
        <f>SUM(F468)</f>
        <v>2974672.61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74283.040000000008</v>
      </c>
      <c r="H628" s="104">
        <f>SUM(G468)</f>
        <v>74283.039999999994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43658.1</v>
      </c>
      <c r="H629" s="104">
        <f>SUM(H468)</f>
        <v>43658.1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160015.94</v>
      </c>
      <c r="H631" s="104">
        <f>SUM(J468)</f>
        <v>160015.94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2954781</v>
      </c>
      <c r="H632" s="104">
        <f>SUM(F472)</f>
        <v>2954781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45094.990000000005</v>
      </c>
      <c r="H633" s="104">
        <f>SUM(H472)</f>
        <v>45094.99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22458.11</v>
      </c>
      <c r="H634" s="104">
        <f>I369</f>
        <v>22458.11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74110.539999999994</v>
      </c>
      <c r="H635" s="104">
        <f>SUM(G472)</f>
        <v>74110.539999999994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160015.94</v>
      </c>
      <c r="H637" s="164">
        <f>SUM(J468)</f>
        <v>160015.94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57622.93</v>
      </c>
      <c r="H639" s="104">
        <f>SUM(F461)</f>
        <v>57622.93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200607.57</v>
      </c>
      <c r="H640" s="104">
        <f>SUM(G461)</f>
        <v>200607.57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258230.5</v>
      </c>
      <c r="H642" s="104">
        <f>SUM(I461)</f>
        <v>258230.5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15.94</v>
      </c>
      <c r="H644" s="104">
        <f>H408</f>
        <v>15.940000000000001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160000</v>
      </c>
      <c r="H645" s="104">
        <f>G408</f>
        <v>160000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160015.94</v>
      </c>
      <c r="H646" s="104">
        <f>L408</f>
        <v>160015.94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87869.79</v>
      </c>
      <c r="H647" s="104">
        <f>L208+L226+L244</f>
        <v>87869.789999999979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53773.310000000005</v>
      </c>
      <c r="H648" s="104">
        <f>(J257+J338)-(J255+J336)</f>
        <v>53773.310000000005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44524.619999999988</v>
      </c>
      <c r="H649" s="104">
        <f>H598</f>
        <v>44524.62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43345.17</v>
      </c>
      <c r="H651" s="104">
        <f>J598</f>
        <v>43345.17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37998</v>
      </c>
      <c r="H652" s="104">
        <f>K263+K345</f>
        <v>37998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160000</v>
      </c>
      <c r="H655" s="104">
        <f>K266+K347</f>
        <v>160000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2007005.69</v>
      </c>
      <c r="G660" s="19">
        <f>(L229+L309+L359)</f>
        <v>0</v>
      </c>
      <c r="H660" s="19">
        <f>(L247+L328+L360)</f>
        <v>828919.28</v>
      </c>
      <c r="I660" s="19">
        <f>SUM(F660:H660)</f>
        <v>2835924.9699999997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17258.54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17258.54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44524.619999999988</v>
      </c>
      <c r="G662" s="19">
        <f>(L226+L306)-(J226+J306)</f>
        <v>0</v>
      </c>
      <c r="H662" s="19">
        <f>(L244+L325)-(J244+J325)</f>
        <v>43345.17</v>
      </c>
      <c r="I662" s="19">
        <f>SUM(F662:H662)</f>
        <v>87869.789999999979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121528.17000000001</v>
      </c>
      <c r="G663" s="199">
        <f>SUM(G575:G587)+SUM(I602:I604)+L612</f>
        <v>0</v>
      </c>
      <c r="H663" s="199">
        <f>SUM(H575:H587)+SUM(J602:J604)+L613</f>
        <v>765315.25</v>
      </c>
      <c r="I663" s="19">
        <f>SUM(F663:H663)</f>
        <v>886843.42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1823694.3599999999</v>
      </c>
      <c r="G664" s="19">
        <f>G660-SUM(G661:G663)</f>
        <v>0</v>
      </c>
      <c r="H664" s="19">
        <f>H660-SUM(H661:H663)</f>
        <v>20258.859999999986</v>
      </c>
      <c r="I664" s="19">
        <f>I660-SUM(I661:I663)</f>
        <v>1843953.2199999997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72.75</v>
      </c>
      <c r="G665" s="248"/>
      <c r="H665" s="248"/>
      <c r="I665" s="19">
        <f>SUM(F665:H665)</f>
        <v>72.75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25067.96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25346.44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-20258.86</v>
      </c>
      <c r="I669" s="19">
        <f>SUM(F669:H669)</f>
        <v>-20258.86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25067.96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25067.96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MONROE SCHOOL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503653.94</v>
      </c>
      <c r="C9" s="229">
        <f>'DOE25'!G197+'DOE25'!G215+'DOE25'!G233+'DOE25'!G276+'DOE25'!G295+'DOE25'!G314</f>
        <v>218015.35999999999</v>
      </c>
    </row>
    <row r="10" spans="1:3" x14ac:dyDescent="0.2">
      <c r="A10" t="s">
        <v>779</v>
      </c>
      <c r="B10" s="240">
        <v>467264.8</v>
      </c>
      <c r="C10" s="240">
        <v>218015.35999999999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29389.14+7000</f>
        <v>36389.14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503653.94</v>
      </c>
      <c r="C13" s="231">
        <f>SUM(C10:C12)</f>
        <v>218015.35999999999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145669.28</v>
      </c>
      <c r="C18" s="229">
        <f>'DOE25'!G198+'DOE25'!G216+'DOE25'!G234+'DOE25'!G277+'DOE25'!G296+'DOE25'!G315</f>
        <v>84765.11</v>
      </c>
    </row>
    <row r="19" spans="1:3" x14ac:dyDescent="0.2">
      <c r="A19" t="s">
        <v>779</v>
      </c>
      <c r="B19" s="240">
        <f>87951.3+1566.8</f>
        <v>89518.1</v>
      </c>
      <c r="C19" s="240">
        <v>51706.720000000001</v>
      </c>
    </row>
    <row r="20" spans="1:3" x14ac:dyDescent="0.2">
      <c r="A20" t="s">
        <v>780</v>
      </c>
      <c r="B20" s="240">
        <f>42096.18+1411.2+4519.05</f>
        <v>48026.43</v>
      </c>
      <c r="C20" s="240">
        <v>27972.49</v>
      </c>
    </row>
    <row r="21" spans="1:3" x14ac:dyDescent="0.2">
      <c r="A21" t="s">
        <v>781</v>
      </c>
      <c r="B21" s="240">
        <f>5354.55+2770.2</f>
        <v>8124.75</v>
      </c>
      <c r="C21" s="240">
        <v>5085.8999999999996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145669.28</v>
      </c>
      <c r="C22" s="231">
        <f>SUM(C19:C21)</f>
        <v>84765.11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3625</v>
      </c>
      <c r="C36" s="235">
        <f>'DOE25'!G200+'DOE25'!G218+'DOE25'!G236+'DOE25'!G279+'DOE25'!G298+'DOE25'!G317</f>
        <v>411.29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3625</v>
      </c>
      <c r="C39" s="240">
        <v>411.29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3625</v>
      </c>
      <c r="C40" s="231">
        <f>SUM(C37:C39)</f>
        <v>411.29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MONROE SCHOOL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1885363.8199999998</v>
      </c>
      <c r="D5" s="20">
        <f>SUM('DOE25'!L197:L200)+SUM('DOE25'!L215:L218)+SUM('DOE25'!L233:L236)-F5-G5</f>
        <v>1848972.6199999996</v>
      </c>
      <c r="E5" s="243"/>
      <c r="F5" s="255">
        <f>SUM('DOE25'!J197:J200)+SUM('DOE25'!J215:J218)+SUM('DOE25'!J233:J236)</f>
        <v>32781.090000000004</v>
      </c>
      <c r="G5" s="53">
        <f>SUM('DOE25'!K197:K200)+SUM('DOE25'!K215:K218)+SUM('DOE25'!K233:K236)</f>
        <v>3610.1099999999997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108177.86</v>
      </c>
      <c r="D6" s="20">
        <f>'DOE25'!L202+'DOE25'!L220+'DOE25'!L238-F6-G6</f>
        <v>105246.36</v>
      </c>
      <c r="E6" s="243"/>
      <c r="F6" s="255">
        <f>'DOE25'!J202+'DOE25'!J220+'DOE25'!J238</f>
        <v>0</v>
      </c>
      <c r="G6" s="53">
        <f>'DOE25'!K202+'DOE25'!K220+'DOE25'!K238</f>
        <v>2931.5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72151.839999999997</v>
      </c>
      <c r="D7" s="20">
        <f>'DOE25'!L203+'DOE25'!L221+'DOE25'!L239-F7-G7</f>
        <v>71651.839999999997</v>
      </c>
      <c r="E7" s="243"/>
      <c r="F7" s="255">
        <f>'DOE25'!J203+'DOE25'!J221+'DOE25'!J239</f>
        <v>500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113441.33999999997</v>
      </c>
      <c r="D8" s="243"/>
      <c r="E8" s="20">
        <f>'DOE25'!L204+'DOE25'!L222+'DOE25'!L240-F8-G8-D9-D11</f>
        <v>108021.33999999997</v>
      </c>
      <c r="F8" s="255">
        <f>'DOE25'!J204+'DOE25'!J222+'DOE25'!J240</f>
        <v>400</v>
      </c>
      <c r="G8" s="53">
        <f>'DOE25'!K204+'DOE25'!K222+'DOE25'!K240</f>
        <v>5020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11718.88</v>
      </c>
      <c r="D9" s="244">
        <v>11718.88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7300</v>
      </c>
      <c r="D10" s="243"/>
      <c r="E10" s="244">
        <v>7300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149363.24</v>
      </c>
      <c r="D11" s="244">
        <v>149363.24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145500.13999999998</v>
      </c>
      <c r="D12" s="20">
        <f>'DOE25'!L205+'DOE25'!L223+'DOE25'!L241-F12-G12</f>
        <v>144846.63999999998</v>
      </c>
      <c r="E12" s="243"/>
      <c r="F12" s="255">
        <f>'DOE25'!J205+'DOE25'!J223+'DOE25'!J241</f>
        <v>0</v>
      </c>
      <c r="G12" s="53">
        <f>'DOE25'!K205+'DOE25'!K223+'DOE25'!K241</f>
        <v>653.5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143132.53</v>
      </c>
      <c r="D14" s="20">
        <f>'DOE25'!L207+'DOE25'!L225+'DOE25'!L243-F14-G14</f>
        <v>140079.44</v>
      </c>
      <c r="E14" s="243"/>
      <c r="F14" s="255">
        <f>'DOE25'!J207+'DOE25'!J225+'DOE25'!J243</f>
        <v>1500</v>
      </c>
      <c r="G14" s="53">
        <f>'DOE25'!K207+'DOE25'!K225+'DOE25'!K243</f>
        <v>1553.09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87869.789999999979</v>
      </c>
      <c r="D15" s="20">
        <f>'DOE25'!L208+'DOE25'!L226+'DOE25'!L244-F15-G15</f>
        <v>87869.789999999979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3217.15</v>
      </c>
      <c r="D22" s="243"/>
      <c r="E22" s="243"/>
      <c r="F22" s="255">
        <f>'DOE25'!L255+'DOE25'!L336</f>
        <v>3217.15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36846.410000000003</v>
      </c>
      <c r="D25" s="243"/>
      <c r="E25" s="243"/>
      <c r="F25" s="258"/>
      <c r="G25" s="256"/>
      <c r="H25" s="257">
        <f>'DOE25'!L260+'DOE25'!L261+'DOE25'!L341+'DOE25'!L342</f>
        <v>36846.410000000003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55511.509999999995</v>
      </c>
      <c r="D29" s="20">
        <f>'DOE25'!L358+'DOE25'!L359+'DOE25'!L360-'DOE25'!I367-F29-G29</f>
        <v>55357.34</v>
      </c>
      <c r="E29" s="243"/>
      <c r="F29" s="255">
        <f>'DOE25'!J358+'DOE25'!J359+'DOE25'!J360</f>
        <v>154.16999999999999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45094.990000000005</v>
      </c>
      <c r="D31" s="20">
        <f>'DOE25'!L290+'DOE25'!L309+'DOE25'!L328+'DOE25'!L333+'DOE25'!L334+'DOE25'!L335-F31-G31</f>
        <v>26502.770000000004</v>
      </c>
      <c r="E31" s="243"/>
      <c r="F31" s="255">
        <f>'DOE25'!J290+'DOE25'!J309+'DOE25'!J328+'DOE25'!J333+'DOE25'!J334+'DOE25'!J335</f>
        <v>18592.22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2641608.9199999995</v>
      </c>
      <c r="E33" s="246">
        <f>SUM(E5:E31)</f>
        <v>115321.33999999997</v>
      </c>
      <c r="F33" s="246">
        <f>SUM(F5:F31)</f>
        <v>57144.630000000005</v>
      </c>
      <c r="G33" s="246">
        <f>SUM(G5:G31)</f>
        <v>13768.2</v>
      </c>
      <c r="H33" s="246">
        <f>SUM(H5:H31)</f>
        <v>36846.410000000003</v>
      </c>
    </row>
    <row r="35" spans="2:8" ht="12" thickBot="1" x14ac:dyDescent="0.25">
      <c r="B35" s="253" t="s">
        <v>847</v>
      </c>
      <c r="D35" s="254">
        <f>E33</f>
        <v>115321.33999999997</v>
      </c>
      <c r="E35" s="249"/>
    </row>
    <row r="36" spans="2:8" ht="12" thickTop="1" x14ac:dyDescent="0.2">
      <c r="B36" t="s">
        <v>815</v>
      </c>
      <c r="D36" s="20">
        <f>D33</f>
        <v>2641608.9199999995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9" activePane="bottomLeft" state="frozen"/>
      <selection activeCell="F46" sqref="F46"/>
      <selection pane="bottomLeft" activeCell="C35" sqref="C3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 SCHOOL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157549.92000000001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4593.3</v>
      </c>
      <c r="D11" s="95">
        <f>'DOE25'!G12</f>
        <v>1962.48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258230.5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1606.87</v>
      </c>
      <c r="E13" s="95">
        <f>'DOE25'!H14</f>
        <v>5264.61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39790.36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201933.58000000002</v>
      </c>
      <c r="D18" s="41">
        <f>SUM(D8:D17)</f>
        <v>3569.35</v>
      </c>
      <c r="E18" s="41">
        <f>SUM(E8:E17)</f>
        <v>5264.61</v>
      </c>
      <c r="F18" s="41">
        <f>SUM(F8:F17)</f>
        <v>0</v>
      </c>
      <c r="G18" s="41">
        <f>SUM(G8:G17)</f>
        <v>258230.5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6555.79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38600.57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43443.35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82043.92</v>
      </c>
      <c r="D31" s="41">
        <f>SUM(D21:D30)</f>
        <v>0</v>
      </c>
      <c r="E31" s="41">
        <f>SUM(E21:E30)</f>
        <v>6555.79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39790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3396.85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172.5</v>
      </c>
      <c r="E47" s="95">
        <f>'DOE25'!H48</f>
        <v>-1291.18</v>
      </c>
      <c r="F47" s="95">
        <f>'DOE25'!I48</f>
        <v>0</v>
      </c>
      <c r="G47" s="95">
        <f>'DOE25'!J48</f>
        <v>258230.5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80099.66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119889.66</v>
      </c>
      <c r="D50" s="41">
        <f>SUM(D34:D49)</f>
        <v>3569.35</v>
      </c>
      <c r="E50" s="41">
        <f>SUM(E34:E49)</f>
        <v>-1291.18</v>
      </c>
      <c r="F50" s="41">
        <f>SUM(F34:F49)</f>
        <v>0</v>
      </c>
      <c r="G50" s="41">
        <f>SUM(G34:G49)</f>
        <v>258230.5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201933.58000000002</v>
      </c>
      <c r="D51" s="41">
        <f>D50+D31</f>
        <v>3569.35</v>
      </c>
      <c r="E51" s="41">
        <f>E50+E31</f>
        <v>5264.61</v>
      </c>
      <c r="F51" s="41">
        <f>F50+F31</f>
        <v>0</v>
      </c>
      <c r="G51" s="41">
        <f>G50+G31</f>
        <v>258230.5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2395272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271.77999999999997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15.94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17258.54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62383.41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62655.19</v>
      </c>
      <c r="D62" s="130">
        <f>SUM(D57:D61)</f>
        <v>17258.54</v>
      </c>
      <c r="E62" s="130">
        <f>SUM(E57:E61)</f>
        <v>0</v>
      </c>
      <c r="F62" s="130">
        <f>SUM(F57:F61)</f>
        <v>0</v>
      </c>
      <c r="G62" s="130">
        <f>SUM(G57:G61)</f>
        <v>15.94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2457927.19</v>
      </c>
      <c r="D63" s="22">
        <f>D56+D62</f>
        <v>17258.54</v>
      </c>
      <c r="E63" s="22">
        <f>E56+E62</f>
        <v>0</v>
      </c>
      <c r="F63" s="22">
        <f>F56+F62</f>
        <v>0</v>
      </c>
      <c r="G63" s="22">
        <f>G56+G62</f>
        <v>15.94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292364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182886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475250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36398.83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542.33000000000004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36398.83</v>
      </c>
      <c r="D78" s="130">
        <f>SUM(D72:D77)</f>
        <v>542.33000000000004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511648.83</v>
      </c>
      <c r="D81" s="130">
        <f>SUM(D79:D80)+D78+D70</f>
        <v>542.33000000000004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4890.1099999999997</v>
      </c>
      <c r="D88" s="95">
        <f>SUM('DOE25'!G153:G161)</f>
        <v>18484.169999999998</v>
      </c>
      <c r="E88" s="95">
        <f>SUM('DOE25'!H153:H161)</f>
        <v>43658.1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206.48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5096.5899999999992</v>
      </c>
      <c r="D91" s="131">
        <f>SUM(D85:D90)</f>
        <v>18484.169999999998</v>
      </c>
      <c r="E91" s="131">
        <f>SUM(E85:E90)</f>
        <v>43658.1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37998</v>
      </c>
      <c r="E96" s="95">
        <f>'DOE25'!H179</f>
        <v>0</v>
      </c>
      <c r="F96" s="95">
        <f>'DOE25'!I179</f>
        <v>0</v>
      </c>
      <c r="G96" s="95">
        <f>'DOE25'!J179</f>
        <v>160000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37998</v>
      </c>
      <c r="E103" s="86">
        <f>SUM(E93:E102)</f>
        <v>0</v>
      </c>
      <c r="F103" s="86">
        <f>SUM(F93:F102)</f>
        <v>0</v>
      </c>
      <c r="G103" s="86">
        <f>SUM(G93:G102)</f>
        <v>160000</v>
      </c>
    </row>
    <row r="104" spans="1:7" ht="12.75" thickTop="1" thickBot="1" x14ac:dyDescent="0.25">
      <c r="A104" s="33" t="s">
        <v>765</v>
      </c>
      <c r="C104" s="86">
        <f>C63+C81+C91+C103</f>
        <v>2974672.61</v>
      </c>
      <c r="D104" s="86">
        <f>D63+D81+D91+D103</f>
        <v>74283.040000000008</v>
      </c>
      <c r="E104" s="86">
        <f>E63+E81+E91+E103</f>
        <v>43658.1</v>
      </c>
      <c r="F104" s="86">
        <f>F63+F81+F91+F103</f>
        <v>0</v>
      </c>
      <c r="G104" s="86">
        <f>G63+G81+G103</f>
        <v>160015.94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1327577.8599999999</v>
      </c>
      <c r="D109" s="24" t="s">
        <v>289</v>
      </c>
      <c r="E109" s="95">
        <f>('DOE25'!L276)+('DOE25'!L295)+('DOE25'!L314)</f>
        <v>26681.78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542273.84</v>
      </c>
      <c r="D110" s="24" t="s">
        <v>289</v>
      </c>
      <c r="E110" s="95">
        <f>('DOE25'!L277)+('DOE25'!L296)+('DOE25'!L315)</f>
        <v>16753.91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6960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8552.119999999999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1885363.8199999998</v>
      </c>
      <c r="D115" s="86">
        <f>SUM(D109:D114)</f>
        <v>0</v>
      </c>
      <c r="E115" s="86">
        <f>SUM(E109:E114)</f>
        <v>43435.69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108177.86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72151.839999999997</v>
      </c>
      <c r="D119" s="24" t="s">
        <v>289</v>
      </c>
      <c r="E119" s="95">
        <f>+('DOE25'!L282)+('DOE25'!L301)+('DOE25'!L320)</f>
        <v>1659.3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274523.45999999996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145500.13999999998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143132.53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87869.789999999979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74110.539999999994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831355.61999999988</v>
      </c>
      <c r="D128" s="86">
        <f>SUM(D118:D127)</f>
        <v>74110.539999999994</v>
      </c>
      <c r="E128" s="86">
        <f>SUM(E118:E127)</f>
        <v>1659.3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3217.15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31887.54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4958.87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37998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35004.28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125011.66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-15.940000000002328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238061.56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2954780.9999999995</v>
      </c>
      <c r="D145" s="86">
        <f>(D115+D128+D144)</f>
        <v>74110.539999999994</v>
      </c>
      <c r="E145" s="86">
        <f>(E115+E128+E144)</f>
        <v>45094.990000000005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07-01-2009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07-01-2014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180000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36000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36000</v>
      </c>
    </row>
    <row r="157" spans="1:9" x14ac:dyDescent="0.2">
      <c r="A157" s="22" t="s">
        <v>33</v>
      </c>
      <c r="B157" s="137">
        <f>'DOE25'!F496</f>
        <v>3790.36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3790.36</v>
      </c>
    </row>
    <row r="158" spans="1:9" x14ac:dyDescent="0.2">
      <c r="A158" s="22" t="s">
        <v>34</v>
      </c>
      <c r="B158" s="137">
        <f>'DOE25'!F497</f>
        <v>38520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38520</v>
      </c>
    </row>
    <row r="159" spans="1:9" x14ac:dyDescent="0.2">
      <c r="A159" s="22" t="s">
        <v>35</v>
      </c>
      <c r="B159" s="137">
        <f>'DOE25'!F498</f>
        <v>36000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36000</v>
      </c>
    </row>
    <row r="160" spans="1:9" x14ac:dyDescent="0.2">
      <c r="A160" s="22" t="s">
        <v>36</v>
      </c>
      <c r="B160" s="137">
        <f>'DOE25'!F499</f>
        <v>2520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2520</v>
      </c>
    </row>
    <row r="161" spans="1:7" x14ac:dyDescent="0.2">
      <c r="A161" s="22" t="s">
        <v>37</v>
      </c>
      <c r="B161" s="137">
        <f>'DOE25'!F500</f>
        <v>38520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38520</v>
      </c>
    </row>
    <row r="162" spans="1:7" x14ac:dyDescent="0.2">
      <c r="A162" s="22" t="s">
        <v>38</v>
      </c>
      <c r="B162" s="137">
        <f>'DOE25'!F501</f>
        <v>36000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36000</v>
      </c>
    </row>
    <row r="163" spans="1:7" x14ac:dyDescent="0.2">
      <c r="A163" s="22" t="s">
        <v>39</v>
      </c>
      <c r="B163" s="137">
        <f>'DOE25'!F502</f>
        <v>1260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1260</v>
      </c>
    </row>
    <row r="164" spans="1:7" x14ac:dyDescent="0.2">
      <c r="A164" s="22" t="s">
        <v>246</v>
      </c>
      <c r="B164" s="137">
        <f>'DOE25'!F503</f>
        <v>37260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37260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MONROE SCHOOL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25068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25068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1354260</v>
      </c>
      <c r="D10" s="182">
        <f>ROUND((C10/$C$28)*100,1)</f>
        <v>48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559028</v>
      </c>
      <c r="D11" s="182">
        <f>ROUND((C11/$C$28)*100,1)</f>
        <v>19.8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6960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8552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108178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73811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274523</v>
      </c>
      <c r="D17" s="182">
        <f t="shared" si="0"/>
        <v>9.6999999999999993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145500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143133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87870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4959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56852.46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2823626.46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3217</v>
      </c>
    </row>
    <row r="30" spans="1:4" x14ac:dyDescent="0.2">
      <c r="B30" s="187" t="s">
        <v>729</v>
      </c>
      <c r="C30" s="180">
        <f>SUM(C28:C29)</f>
        <v>2826843.46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31888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2395272</v>
      </c>
      <c r="D35" s="182">
        <f t="shared" ref="D35:D40" si="1">ROUND((C35/$C$41)*100,1)</f>
        <v>78.900000000000006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62671.129999999888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475250</v>
      </c>
      <c r="D37" s="182">
        <f t="shared" si="1"/>
        <v>15.6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36941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67239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3037373.13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4" sqref="C24:M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MONROE SCHOOL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2014-11-10T19:41:42Z</cp:lastPrinted>
  <dcterms:created xsi:type="dcterms:W3CDTF">1997-12-04T19:04:30Z</dcterms:created>
  <dcterms:modified xsi:type="dcterms:W3CDTF">2014-11-10T19:50:13Z</dcterms:modified>
</cp:coreProperties>
</file>