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9" i="12" l="1"/>
  <c r="B10" i="12"/>
  <c r="H198" i="1" l="1"/>
  <c r="F160" i="1" l="1"/>
  <c r="F50" i="1"/>
  <c r="F13" i="1"/>
  <c r="H208" i="1" l="1"/>
  <c r="F109" i="1" l="1"/>
  <c r="J472" i="1" l="1"/>
  <c r="H472" i="1"/>
  <c r="G472" i="1"/>
  <c r="G468" i="1"/>
  <c r="H468" i="1"/>
  <c r="I468" i="1"/>
  <c r="J468" i="1"/>
  <c r="J465" i="1"/>
  <c r="G465" i="1"/>
  <c r="F367" i="1"/>
  <c r="G459" i="1"/>
  <c r="G4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G661" i="1" s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L250" i="1"/>
  <c r="L332" i="1"/>
  <c r="L254" i="1"/>
  <c r="L268" i="1"/>
  <c r="L269" i="1"/>
  <c r="C143" i="2" s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C113" i="2"/>
  <c r="E113" i="2"/>
  <c r="D115" i="2"/>
  <c r="F115" i="2"/>
  <c r="G115" i="2"/>
  <c r="C119" i="2"/>
  <c r="E119" i="2"/>
  <c r="E123" i="2"/>
  <c r="C125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G460" i="1"/>
  <c r="G461" i="1" s="1"/>
  <c r="H640" i="1" s="1"/>
  <c r="H460" i="1"/>
  <c r="H461" i="1" s="1"/>
  <c r="H641" i="1" s="1"/>
  <c r="F461" i="1"/>
  <c r="G470" i="1"/>
  <c r="H470" i="1"/>
  <c r="I470" i="1"/>
  <c r="J470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H545" i="1" s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8" i="1"/>
  <c r="H629" i="1"/>
  <c r="H630" i="1"/>
  <c r="H631" i="1"/>
  <c r="H633" i="1"/>
  <c r="H635" i="1"/>
  <c r="H636" i="1"/>
  <c r="H637" i="1"/>
  <c r="H638" i="1"/>
  <c r="G639" i="1"/>
  <c r="H639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A31" i="12"/>
  <c r="C91" i="2"/>
  <c r="E78" i="2"/>
  <c r="L419" i="1"/>
  <c r="I169" i="1"/>
  <c r="G476" i="1"/>
  <c r="H623" i="1" s="1"/>
  <c r="J140" i="1"/>
  <c r="G22" i="2"/>
  <c r="H140" i="1"/>
  <c r="H192" i="1"/>
  <c r="L570" i="1"/>
  <c r="C118" i="2" l="1"/>
  <c r="A13" i="12"/>
  <c r="J552" i="1"/>
  <c r="K550" i="1"/>
  <c r="L534" i="1"/>
  <c r="G552" i="1"/>
  <c r="L524" i="1"/>
  <c r="I257" i="1"/>
  <c r="J476" i="1"/>
  <c r="H626" i="1" s="1"/>
  <c r="E62" i="2"/>
  <c r="E63" i="2" s="1"/>
  <c r="D18" i="13"/>
  <c r="C18" i="13" s="1"/>
  <c r="D12" i="13"/>
  <c r="C12" i="13" s="1"/>
  <c r="E8" i="13"/>
  <c r="C8" i="13" s="1"/>
  <c r="G164" i="2"/>
  <c r="G161" i="2"/>
  <c r="G156" i="2"/>
  <c r="F78" i="2"/>
  <c r="F81" i="2" s="1"/>
  <c r="D50" i="2"/>
  <c r="G62" i="2"/>
  <c r="J645" i="1"/>
  <c r="L401" i="1"/>
  <c r="C139" i="2" s="1"/>
  <c r="J640" i="1"/>
  <c r="L247" i="1"/>
  <c r="H112" i="1"/>
  <c r="J643" i="1"/>
  <c r="J639" i="1"/>
  <c r="I571" i="1"/>
  <c r="J571" i="1"/>
  <c r="K571" i="1"/>
  <c r="L560" i="1"/>
  <c r="K500" i="1"/>
  <c r="I476" i="1"/>
  <c r="H625" i="1" s="1"/>
  <c r="G157" i="2"/>
  <c r="E125" i="2"/>
  <c r="E121" i="2"/>
  <c r="E112" i="2"/>
  <c r="C123" i="2"/>
  <c r="D5" i="13"/>
  <c r="C5" i="13" s="1"/>
  <c r="F257" i="1"/>
  <c r="F271" i="1" s="1"/>
  <c r="E122" i="2"/>
  <c r="E128" i="2" s="1"/>
  <c r="L544" i="1"/>
  <c r="K545" i="1"/>
  <c r="G545" i="1"/>
  <c r="J545" i="1"/>
  <c r="J644" i="1"/>
  <c r="H338" i="1"/>
  <c r="H352" i="1" s="1"/>
  <c r="H257" i="1"/>
  <c r="H271" i="1" s="1"/>
  <c r="C114" i="2"/>
  <c r="E103" i="2"/>
  <c r="D81" i="2"/>
  <c r="C132" i="2"/>
  <c r="K551" i="1"/>
  <c r="K549" i="1"/>
  <c r="E124" i="2"/>
  <c r="E120" i="2"/>
  <c r="C121" i="2"/>
  <c r="L393" i="1"/>
  <c r="C138" i="2" s="1"/>
  <c r="E118" i="2"/>
  <c r="J623" i="1"/>
  <c r="F22" i="13"/>
  <c r="C22" i="13" s="1"/>
  <c r="E13" i="13"/>
  <c r="C13" i="13" s="1"/>
  <c r="J651" i="1"/>
  <c r="I545" i="1"/>
  <c r="I460" i="1"/>
  <c r="I452" i="1"/>
  <c r="I446" i="1"/>
  <c r="G642" i="1" s="1"/>
  <c r="L433" i="1"/>
  <c r="J634" i="1"/>
  <c r="G338" i="1"/>
  <c r="G352" i="1" s="1"/>
  <c r="D31" i="2"/>
  <c r="E31" i="2"/>
  <c r="F18" i="2"/>
  <c r="C26" i="10"/>
  <c r="C16" i="10"/>
  <c r="K605" i="1"/>
  <c r="G648" i="1" s="1"/>
  <c r="K598" i="1"/>
  <c r="G647" i="1" s="1"/>
  <c r="C12" i="10"/>
  <c r="C21" i="10"/>
  <c r="L290" i="1"/>
  <c r="C13" i="10"/>
  <c r="C78" i="2"/>
  <c r="C81" i="2" s="1"/>
  <c r="C70" i="2"/>
  <c r="F112" i="1"/>
  <c r="D29" i="13"/>
  <c r="C29" i="13" s="1"/>
  <c r="L362" i="1"/>
  <c r="C27" i="10" s="1"/>
  <c r="H661" i="1"/>
  <c r="C32" i="10"/>
  <c r="L270" i="1"/>
  <c r="K257" i="1"/>
  <c r="K271" i="1" s="1"/>
  <c r="J257" i="1"/>
  <c r="J271" i="1" s="1"/>
  <c r="L256" i="1"/>
  <c r="C110" i="2"/>
  <c r="L229" i="1"/>
  <c r="G660" i="1" s="1"/>
  <c r="G664" i="1" s="1"/>
  <c r="G667" i="1" s="1"/>
  <c r="G257" i="1"/>
  <c r="G271" i="1" s="1"/>
  <c r="E16" i="13"/>
  <c r="C16" i="13" s="1"/>
  <c r="D14" i="13"/>
  <c r="C14" i="13" s="1"/>
  <c r="L211" i="1"/>
  <c r="C20" i="10"/>
  <c r="C18" i="10"/>
  <c r="C17" i="10"/>
  <c r="A40" i="12"/>
  <c r="C10" i="10"/>
  <c r="J624" i="1"/>
  <c r="H52" i="1"/>
  <c r="H619" i="1" s="1"/>
  <c r="J619" i="1" s="1"/>
  <c r="J617" i="1"/>
  <c r="C18" i="2"/>
  <c r="J641" i="1"/>
  <c r="E109" i="2"/>
  <c r="C62" i="2"/>
  <c r="F661" i="1"/>
  <c r="C19" i="10"/>
  <c r="C15" i="10"/>
  <c r="G112" i="1"/>
  <c r="H660" i="1"/>
  <c r="I271" i="1"/>
  <c r="L539" i="1"/>
  <c r="K503" i="1"/>
  <c r="K352" i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L382" i="1"/>
  <c r="G636" i="1" s="1"/>
  <c r="J636" i="1" s="1"/>
  <c r="H25" i="13"/>
  <c r="E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G635" i="1"/>
  <c r="J635" i="1" s="1"/>
  <c r="F193" i="1" l="1"/>
  <c r="E115" i="2"/>
  <c r="E145" i="2" s="1"/>
  <c r="G104" i="2"/>
  <c r="C141" i="2"/>
  <c r="C144" i="2" s="1"/>
  <c r="I461" i="1"/>
  <c r="H642" i="1" s="1"/>
  <c r="J642" i="1" s="1"/>
  <c r="K552" i="1"/>
  <c r="E104" i="2"/>
  <c r="L545" i="1"/>
  <c r="D31" i="13"/>
  <c r="C31" i="13" s="1"/>
  <c r="F104" i="2"/>
  <c r="J647" i="1"/>
  <c r="L338" i="1"/>
  <c r="L352" i="1" s="1"/>
  <c r="G633" i="1" s="1"/>
  <c r="J633" i="1" s="1"/>
  <c r="C36" i="10"/>
  <c r="H664" i="1"/>
  <c r="H672" i="1" s="1"/>
  <c r="C6" i="10" s="1"/>
  <c r="I661" i="1"/>
  <c r="C115" i="2"/>
  <c r="L257" i="1"/>
  <c r="L271" i="1" s="1"/>
  <c r="E33" i="13"/>
  <c r="D35" i="13" s="1"/>
  <c r="C128" i="2"/>
  <c r="F660" i="1"/>
  <c r="F664" i="1" s="1"/>
  <c r="C28" i="10"/>
  <c r="D22" i="10" s="1"/>
  <c r="H648" i="1"/>
  <c r="J648" i="1" s="1"/>
  <c r="C63" i="2"/>
  <c r="C104" i="2" s="1"/>
  <c r="G672" i="1"/>
  <c r="C5" i="10" s="1"/>
  <c r="C25" i="13"/>
  <c r="H33" i="13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27" i="1" l="1"/>
  <c r="F468" i="1"/>
  <c r="G632" i="1"/>
  <c r="F472" i="1"/>
  <c r="D33" i="13"/>
  <c r="D36" i="13" s="1"/>
  <c r="H667" i="1"/>
  <c r="C145" i="2"/>
  <c r="D10" i="10"/>
  <c r="D18" i="10"/>
  <c r="D17" i="10"/>
  <c r="D23" i="10"/>
  <c r="D24" i="10"/>
  <c r="I660" i="1"/>
  <c r="I664" i="1" s="1"/>
  <c r="I672" i="1" s="1"/>
  <c r="C7" i="10" s="1"/>
  <c r="C30" i="10"/>
  <c r="D20" i="10"/>
  <c r="D12" i="10"/>
  <c r="D27" i="10"/>
  <c r="D26" i="10"/>
  <c r="D16" i="10"/>
  <c r="D15" i="10"/>
  <c r="D25" i="10"/>
  <c r="D19" i="10"/>
  <c r="D13" i="10"/>
  <c r="D11" i="10"/>
  <c r="D21" i="10"/>
  <c r="G637" i="1"/>
  <c r="J637" i="1" s="1"/>
  <c r="H646" i="1"/>
  <c r="J646" i="1" s="1"/>
  <c r="F672" i="1"/>
  <c r="C4" i="10" s="1"/>
  <c r="F667" i="1"/>
  <c r="C41" i="10"/>
  <c r="D38" i="10" s="1"/>
  <c r="H627" i="1" l="1"/>
  <c r="J627" i="1" s="1"/>
  <c r="F470" i="1"/>
  <c r="H632" i="1"/>
  <c r="J632" i="1" s="1"/>
  <c r="F474" i="1"/>
  <c r="I667" i="1"/>
  <c r="D28" i="10"/>
  <c r="D37" i="10"/>
  <c r="D36" i="10"/>
  <c r="D35" i="10"/>
  <c r="D40" i="10"/>
  <c r="D39" i="10"/>
  <c r="F476" i="1" l="1"/>
  <c r="H622" i="1" s="1"/>
  <c r="D41" i="10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<sst xmlns="http://schemas.openxmlformats.org/spreadsheetml/2006/main" count="3954" uniqueCount="912">
  <si>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</si>
  <si>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</si>
  <si>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</si>
  <si>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</si>
  <si>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</si>
  <si>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</si>
  <si>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</si>
  <si>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</si>
  <si>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</si>
  <si>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</si>
  <si>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</si>
  <si>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</si>
  <si>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</si>
  <si>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</si>
  <si>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</si>
  <si>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</si>
  <si>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</si>
  <si>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</si>
  <si>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</si>
  <si>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</si>
  <si>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</si>
  <si>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</si>
  <si>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</si>
  <si>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</si>
  <si>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</si>
  <si>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</si>
  <si>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</si>
  <si>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</si>
  <si>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</si>
  <si>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</si>
  <si>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</si>
  <si>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</si>
  <si>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</si>
  <si>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</si>
  <si>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</si>
  <si>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</si>
  <si>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</si>
  <si>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</si>
  <si>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</si>
  <si>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</si>
  <si>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</si>
  <si>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</si>
  <si>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</si>
  <si>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</si>
  <si>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</si>
  <si>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</si>
  <si>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</si>
  <si>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</si>
  <si>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</si>
  <si>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</si>
  <si>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</si>
  <si>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</si>
  <si>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</si>
  <si>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</si>
  <si>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</si>
  <si>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</si>
  <si>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</si>
  <si>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</si>
  <si>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</si>
  <si>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</si>
  <si>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</si>
  <si>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</si>
  <si>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</si>
  <si>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</si>
  <si>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</si>
  <si>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</si>
  <si>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</si>
  <si>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</si>
  <si>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</si>
  <si>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</si>
  <si>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</si>
  <si>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</si>
  <si>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</si>
  <si>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</si>
  <si>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</si>
  <si>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</si>
  <si>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</si>
  <si>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</si>
  <si>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</si>
  <si>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</si>
  <si>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</si>
  <si>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</si>
  <si>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</si>
  <si>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</si>
  <si>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</si>
  <si>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</si>
  <si>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</si>
  <si>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</si>
  <si>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</si>
  <si>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</si>
  <si>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</si>
  <si>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</si>
  <si>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</si>
  <si>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</si>
  <si>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</si>
  <si>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</si>
  <si>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</si>
  <si>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</si>
  <si>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</si>
  <si>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</si>
  <si>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</si>
  <si>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</si>
  <si>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</si>
  <si>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</si>
  <si>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</si>
  <si>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</si>
  <si>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</si>
  <si>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</si>
  <si>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</si>
  <si>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</si>
  <si>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</si>
  <si>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</si>
  <si>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</si>
  <si>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</si>
  <si>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</si>
  <si>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</si>
  <si>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</si>
  <si>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</si>
  <si>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</si>
  <si>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</si>
  <si>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</si>
  <si>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</si>
  <si>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</si>
  <si>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</si>
  <si>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</si>
  <si>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</si>
  <si>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</si>
  <si>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</si>
  <si>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</si>
  <si>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</si>
  <si>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</si>
  <si>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</si>
  <si>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</si>
  <si>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</si>
  <si>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</si>
  <si>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</si>
  <si>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</si>
  <si>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</si>
  <si>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</si>
  <si>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</si>
  <si>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</si>
  <si>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</si>
  <si>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</si>
  <si>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</si>
  <si>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</si>
  <si>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</si>
  <si>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</si>
  <si>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</si>
  <si>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</si>
  <si>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</si>
  <si>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</si>
  <si>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</si>
  <si>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</si>
  <si>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</si>
  <si>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</si>
  <si>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</si>
  <si>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</si>
  <si>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</si>
  <si>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</si>
  <si>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</si>
  <si>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</si>
  <si>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</si>
  <si>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</si>
  <si>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</si>
  <si>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</si>
  <si>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</si>
  <si>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</si>
  <si>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</si>
  <si>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</si>
  <si>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</si>
  <si>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</si>
  <si>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</si>
  <si>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</si>
  <si>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</si>
  <si>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</si>
  <si>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</si>
  <si>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</si>
  <si>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</si>
  <si>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</si>
  <si>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</si>
  <si>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</si>
  <si>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</si>
  <si>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</si>
  <si>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</si>
  <si>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</si>
  <si>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</si>
  <si>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</si>
  <si>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</si>
  <si>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</si>
  <si>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</si>
  <si>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</si>
  <si>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</si>
  <si>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</si>
  <si>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</si>
  <si>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</si>
  <si>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</si>
  <si>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</si>
  <si>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</si>
  <si>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</si>
  <si>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</si>
  <si>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</si>
  <si>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</si>
  <si>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</si>
  <si>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</si>
  <si>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</si>
  <si>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</si>
  <si>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</si>
  <si>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</si>
  <si>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</si>
  <si>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</si>
  <si>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</si>
  <si>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</si>
  <si>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</si>
  <si>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</si>
  <si>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</si>
  <si>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</si>
  <si>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</si>
  <si>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</si>
  <si>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</si>
  <si>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</si>
  <si>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</si>
  <si>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</si>
  <si>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</si>
  <si>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</si>
  <si>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</si>
  <si>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</si>
  <si>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</si>
  <si>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</si>
  <si>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</si>
  <si>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</si>
  <si>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</si>
  <si>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</si>
  <si>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</si>
  <si>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</si>
  <si>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</si>
  <si>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</si>
  <si>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</si>
  <si>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</si>
  <si>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</si>
  <si>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</si>
  <si>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</si>
  <si>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</si>
  <si>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</si>
  <si>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</si>
  <si>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</si>
  <si>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</si>
  <si>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</si>
  <si>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</si>
  <si>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</si>
  <si>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</si>
  <si>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</si>
  <si>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</si>
  <si>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</si>
  <si>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</si>
  <si>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</si>
  <si>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</si>
  <si>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</si>
  <si>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</si>
  <si>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</si>
  <si>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</si>
  <si>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</si>
  <si>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</si>
  <si>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</si>
  <si>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</si>
  <si>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</si>
  <si>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</si>
  <si>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</si>
  <si>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</si>
  <si>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</si>
  <si>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</si>
  <si>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</si>
  <si>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</si>
  <si>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</si>
  <si>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</si>
  <si>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</si>
  <si>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</si>
  <si>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</si>
  <si>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</si>
  <si>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</si>
  <si>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</si>
  <si>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</si>
  <si>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</si>
  <si>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</si>
  <si>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</si>
  <si>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</si>
  <si>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</si>
  <si>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</si>
  <si>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</si>
  <si>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</si>
  <si>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</si>
  <si>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</si>
  <si>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</si>
  <si>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</si>
  <si>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</si>
  <si>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</si>
  <si>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</si>
  <si>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</si>
  <si>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</si>
  <si>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</si>
  <si>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</si>
  <si>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</si>
  <si>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</si>
  <si>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</si>
  <si>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</si>
  <si>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</si>
  <si>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</si>
  <si>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</si>
  <si>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</si>
  <si>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</si>
  <si>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</si>
  <si>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</si>
  <si>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</si>
  <si>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</si>
  <si>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</si>
  <si>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</si>
  <si>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</si>
  <si>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</si>
  <si>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</si>
  <si>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</si>
  <si>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</si>
  <si>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</si>
  <si>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</si>
  <si>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</si>
  <si>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</si>
  <si>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</si>
  <si>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</si>
  <si>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</si>
  <si>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</si>
  <si>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</si>
  <si>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</si>
  <si>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</si>
  <si>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</si>
  <si>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</si>
  <si>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</si>
  <si>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</si>
  <si>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</si>
  <si>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</si>
  <si>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</si>
  <si>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</si>
  <si>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</si>
  <si>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</si>
  <si>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</si>
  <si>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</si>
  <si>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</si>
  <si>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</si>
  <si>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</si>
  <si>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</si>
  <si>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</si>
  <si>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</si>
  <si>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</si>
  <si>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</si>
  <si>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</si>
  <si>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</si>
  <si>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</si>
  <si>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</si>
  <si>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</si>
  <si>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</si>
  <si>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</si>
  <si>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</si>
  <si>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</si>
  <si>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</si>
  <si>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</si>
  <si>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</si>
  <si>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</si>
  <si>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</si>
  <si>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</si>
  <si>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</si>
  <si>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</si>
  <si>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</si>
  <si>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</si>
  <si>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</si>
  <si>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</si>
  <si>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</si>
  <si>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</si>
  <si>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</si>
  <si>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</si>
  <si>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</si>
  <si>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</si>
  <si>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</si>
  <si>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</si>
  <si>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</si>
  <si>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</si>
  <si>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</si>
  <si>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</si>
  <si>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</si>
  <si>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</si>
  <si>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</si>
  <si>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</si>
  <si>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</si>
  <si>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</si>
  <si>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</si>
  <si>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</si>
  <si>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</si>
  <si>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</si>
  <si>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</si>
  <si>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</si>
  <si>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</si>
  <si>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</si>
  <si>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</si>
  <si>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</si>
  <si>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</si>
  <si>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</si>
  <si>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</si>
  <si>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</si>
  <si>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</si>
  <si>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</si>
  <si>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</si>
  <si>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</si>
  <si>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</si>
  <si>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</si>
  <si>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</si>
  <si>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</si>
  <si>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</si>
  <si>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</si>
  <si>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</si>
  <si>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</si>
  <si>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</si>
  <si>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</si>
  <si>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</si>
  <si>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</si>
  <si>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</si>
  <si>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</si>
  <si>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</si>
  <si>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</si>
  <si>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</si>
  <si>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</si>
  <si>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</si>
  <si>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</si>
  <si>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</si>
  <si>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</si>
  <si>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</si>
  <si>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</si>
  <si>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</si>
  <si>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</si>
  <si>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</si>
  <si>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</si>
  <si>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</si>
  <si>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</si>
  <si>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</si>
  <si>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</si>
  <si>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</si>
  <si>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</si>
  <si>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</si>
  <si>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</si>
  <si>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</si>
  <si>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</si>
  <si>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</si>
  <si>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</si>
  <si>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</si>
  <si>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</si>
  <si>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</si>
  <si>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</si>
  <si>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</si>
  <si>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</si>
  <si>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</si>
  <si>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</si>
  <si>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</si>
  <si>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</si>
  <si>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</si>
  <si>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</si>
  <si>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</si>
  <si>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</si>
  <si>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</si>
  <si>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</si>
  <si>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</si>
  <si>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</si>
  <si>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</si>
  <si>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</si>
  <si>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</si>
  <si>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</si>
  <si>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</si>
  <si>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</si>
  <si>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</si>
  <si>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</si>
  <si>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</si>
  <si>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</si>
  <si>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</si>
  <si>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</si>
  <si>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</si>
  <si>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</si>
  <si>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</si>
  <si>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</si>
  <si>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</si>
  <si>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</si>
  <si>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</si>
  <si>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</si>
  <si>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</si>
  <si>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</si>
  <si>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</si>
  <si>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</si>
  <si>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</si>
  <si>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</si>
  <si>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</si>
  <si>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</si>
  <si>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</si>
  <si>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</si>
  <si>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</si>
  <si>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</si>
  <si>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</si>
  <si>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</si>
  <si>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</si>
  <si>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</si>
  <si>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</si>
  <si>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</si>
  <si>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</si>
  <si>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</si>
  <si>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</si>
  <si>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</si>
  <si>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</si>
  <si>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</si>
  <si>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</si>
  <si>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</si>
  <si>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</si>
  <si>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</si>
  <si>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</si>
  <si>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</si>
  <si>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</si>
  <si>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</si>
  <si>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</si>
  <si>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</si>
  <si>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</si>
  <si>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</si>
  <si>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</si>
  <si>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</si>
  <si>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</si>
  <si>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</si>
  <si>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</si>
  <si>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</si>
  <si>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</si>
  <si>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</si>
  <si>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</si>
  <si>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</si>
  <si>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</si>
  <si>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</si>
  <si>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</si>
  <si>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</si>
  <si>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</si>
  <si>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</si>
  <si>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</si>
  <si>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</si>
  <si>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</si>
  <si>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</si>
  <si>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</si>
  <si>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</si>
  <si>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</si>
  <si>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</si>
  <si>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</si>
  <si>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</si>
  <si>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</si>
  <si>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</si>
  <si>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</si>
  <si>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</si>
  <si>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</si>
  <si>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</si>
  <si>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</si>
  <si>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</si>
  <si>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</si>
  <si>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</si>
  <si>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</si>
  <si>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</si>
  <si>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</si>
  <si>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</si>
  <si>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</si>
  <si>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</si>
  <si>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</si>
  <si>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</si>
  <si>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</si>
  <si>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</si>
  <si>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</si>
  <si>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</si>
  <si>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</si>
  <si>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</si>
  <si>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</si>
  <si>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</si>
  <si>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</si>
  <si>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</si>
  <si>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</si>
  <si>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</si>
  <si>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</si>
  <si>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</si>
  <si>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</si>
  <si>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</si>
  <si>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</si>
  <si>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</si>
  <si>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</si>
  <si>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</si>
  <si>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</si>
  <si>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</si>
  <si>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</si>
  <si>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</si>
  <si>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</si>
  <si>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</si>
  <si>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</si>
  <si>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</si>
  <si>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</si>
  <si>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</si>
  <si>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</si>
  <si>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</si>
  <si>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</si>
  <si>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</si>
  <si>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</si>
  <si>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</si>
  <si>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</si>
  <si>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</si>
  <si>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</si>
  <si>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</si>
  <si>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</si>
  <si>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</si>
  <si>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</si>
  <si>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</si>
  <si>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</si>
  <si>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</si>
  <si>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</si>
  <si>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</si>
  <si>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</si>
  <si>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</si>
  <si>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</si>
  <si>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</si>
  <si>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</si>
  <si>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</si>
  <si>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</si>
  <si>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</si>
  <si>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</si>
  <si>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</si>
  <si>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</si>
  <si>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</si>
  <si>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</si>
  <si>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</si>
  <si>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</si>
  <si>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</si>
  <si>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</si>
  <si>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</si>
  <si>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</si>
  <si>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</si>
  <si>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</si>
  <si>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</si>
  <si>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</si>
  <si>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</si>
  <si>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</si>
  <si>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</si>
  <si>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</si>
  <si>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</si>
  <si>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</si>
  <si>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</si>
  <si>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</si>
  <si>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</si>
  <si>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</si>
  <si>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</si>
  <si>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</si>
  <si>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</si>
  <si>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</si>
  <si>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</si>
  <si>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</si>
  <si>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</si>
  <si>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</si>
  <si>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</si>
  <si>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</si>
  <si>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</si>
  <si>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</si>
  <si>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</si>
  <si>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</si>
  <si>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</si>
  <si>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</si>
  <si>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</si>
  <si>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</si>
  <si>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</si>
  <si>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</si>
  <si>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</si>
  <si>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</si>
  <si>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</si>
  <si>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</si>
  <si>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</si>
  <si>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</si>
  <si>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</si>
  <si>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</si>
  <si>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</si>
  <si>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</si>
  <si>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</si>
  <si>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</si>
  <si>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</si>
  <si>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</si>
  <si>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</si>
  <si>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</si>
  <si>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</si>
  <si>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</si>
  <si>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</si>
  <si>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</si>
  <si>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</si>
  <si>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</si>
  <si>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</si>
  <si>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</si>
  <si>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</si>
  <si>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</si>
  <si>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</si>
  <si>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</si>
  <si>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</si>
  <si>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</si>
  <si>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</si>
  <si>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</si>
  <si>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</si>
  <si>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</si>
  <si>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</si>
  <si>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</si>
  <si>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</si>
  <si>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</si>
  <si>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</si>
  <si>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</si>
  <si>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</si>
  <si>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</si>
  <si>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</si>
  <si>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</si>
  <si>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</si>
  <si>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</si>
  <si>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</si>
  <si>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</si>
  <si>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</si>
  <si>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</si>
  <si>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</si>
  <si>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</si>
  <si>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</si>
  <si>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</si>
  <si>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</si>
  <si>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</si>
  <si>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</si>
  <si>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</si>
  <si>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</si>
  <si>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</si>
  <si>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</si>
  <si>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</si>
  <si>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</si>
  <si>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</si>
  <si>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</si>
  <si>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</si>
  <si>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</si>
  <si>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</si>
  <si>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</si>
  <si>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</si>
  <si>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</si>
  <si>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</si>
  <si>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</si>
  <si>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</si>
  <si>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</si>
  <si>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</si>
  <si>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</si>
  <si>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</si>
  <si>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</si>
  <si>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</si>
  <si>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</si>
  <si>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</si>
  <si>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</si>
  <si>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</si>
  <si>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</si>
  <si>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</si>
  <si>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</si>
  <si>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</si>
  <si>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</si>
  <si>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</si>
  <si>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</si>
  <si>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</si>
  <si>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</si>
  <si>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</si>
  <si>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</si>
  <si>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</si>
  <si>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</si>
  <si>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</si>
  <si>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</si>
  <si>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</si>
  <si>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</si>
  <si>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</si>
  <si>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</si>
  <si>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</si>
  <si>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</si>
  <si>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</si>
  <si>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</si>
  <si>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</si>
  <si>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</si>
  <si>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</si>
  <si>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</si>
  <si>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</si>
  <si>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</si>
  <si>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</si>
  <si>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</si>
  <si>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</si>
  <si>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</si>
  <si>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</si>
  <si>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</si>
  <si>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</si>
  <si>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</si>
  <si>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</si>
  <si>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</si>
  <si>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</si>
  <si>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</si>
  <si>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</si>
  <si>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</si>
  <si>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</si>
  <si>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</si>
  <si>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</si>
  <si>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</si>
  <si>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</si>
  <si>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</si>
  <si>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</si>
  <si>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</si>
  <si>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</si>
  <si>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</si>
  <si>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</si>
  <si>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</si>
  <si>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</si>
  <si>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</si>
  <si>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</si>
  <si>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</si>
  <si>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</si>
  <si>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</si>
  <si>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</si>
  <si>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</si>
  <si>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</si>
  <si>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</si>
  <si>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</si>
  <si>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</si>
  <si>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</si>
  <si>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</si>
  <si>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</si>
  <si>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</si>
  <si>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</si>
  <si>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</si>
  <si>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</si>
  <si>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</si>
  <si>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</si>
  <si>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</si>
  <si>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</si>
  <si>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</si>
  <si>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</si>
  <si>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</si>
  <si>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</si>
  <si>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</si>
  <si>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</si>
  <si>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</si>
  <si>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</si>
  <si>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</si>
  <si>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</si>
  <si>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</si>
  <si>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</si>
  <si>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</si>
  <si>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</si>
  <si>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</si>
  <si>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</si>
  <si>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</si>
  <si>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</si>
  <si>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</si>
  <si>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</si>
  <si>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</si>
  <si>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</si>
  <si>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</si>
  <si>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</si>
  <si>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</si>
  <si>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</si>
  <si>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</si>
  <si>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</si>
  <si>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</si>
  <si>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</si>
  <si>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</si>
  <si>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</si>
  <si>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</si>
  <si>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</si>
  <si>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</si>
  <si>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</si>
  <si>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</si>
  <si>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</si>
  <si>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</si>
  <si>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</si>
  <si>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</si>
  <si>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</si>
  <si>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</si>
  <si>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</si>
  <si>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</si>
  <si>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</si>
  <si>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</si>
  <si>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</si>
  <si>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</si>
  <si>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</si>
  <si>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</si>
  <si>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</si>
  <si>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</si>
  <si>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</si>
  <si>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</si>
  <si>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</si>
  <si>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</si>
  <si>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</si>
  <si>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</si>
  <si>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</si>
  <si>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</si>
  <si>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</si>
  <si>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</si>
  <si>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</si>
  <si>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</si>
  <si>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</si>
  <si>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</si>
  <si>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</si>
  <si>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</si>
  <si>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</si>
  <si>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</si>
  <si>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</si>
  <si>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</si>
  <si>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</si>
  <si>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</si>
  <si>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</si>
  <si>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</si>
  <si>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</si>
  <si>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</si>
  <si>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</si>
  <si>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</si>
  <si>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</si>
  <si>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MONT VERNON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</si>
</sst>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244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367</v>
      </c>
      <c r="C2" s="21">
        <v>367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534647.72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33548.550000000003</v>
      </c>
      <c r="G12" s="18">
        <v>10610.72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360+1137.07</f>
        <v>1497.07</v>
      </c>
      <c r="G13" s="18">
        <v>2289.89</v>
      </c>
      <c r="H13" s="18">
        <v>33331.74</v>
      </c>
      <c r="I13" s="18"/>
      <c r="J13" s="67">
        <f>SUM(I442)</f>
        <v>61984.49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1758.5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571451.84</v>
      </c>
      <c r="G19" s="41">
        <f>SUM(G9:G18)</f>
        <v>12900.609999999999</v>
      </c>
      <c r="H19" s="41">
        <f>SUM(H9:H18)</f>
        <v>33331.74</v>
      </c>
      <c r="I19" s="41">
        <f>SUM(I9:I18)</f>
        <v>0</v>
      </c>
      <c r="J19" s="41">
        <f>SUM(J9:J18)</f>
        <v>61984.49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33321.269999999997</v>
      </c>
      <c r="I22" s="18"/>
      <c r="J22" s="67">
        <f>SUM(I448)</f>
        <v>10838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280862.64</v>
      </c>
      <c r="G23" s="18">
        <v>3480.91</v>
      </c>
      <c r="H23" s="18">
        <v>0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1582.76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4964.3599999999997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10.47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678.59</v>
      </c>
      <c r="G31" s="18">
        <v>0</v>
      </c>
      <c r="H31" s="18">
        <v>0</v>
      </c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288088.35000000003</v>
      </c>
      <c r="G32" s="41">
        <f>SUM(G22:G31)</f>
        <v>3480.91</v>
      </c>
      <c r="H32" s="41">
        <f>SUM(H22:H31)</f>
        <v>33331.74</v>
      </c>
      <c r="I32" s="41">
        <f>SUM(I22:I31)</f>
        <v>0</v>
      </c>
      <c r="J32" s="41">
        <f>SUM(J22:J31)</f>
        <v>10838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23607.48+-14428.78</f>
        <v>9178.6999999999989</v>
      </c>
      <c r="H48" s="18">
        <v>0</v>
      </c>
      <c r="I48" s="18"/>
      <c r="J48" s="13">
        <f>SUM(I459)</f>
        <v>51146.49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185440.35</v>
      </c>
      <c r="G49" s="18">
        <v>241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-185440.35+282226.42+1137.07</f>
        <v>97923.139999999985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283363.49</v>
      </c>
      <c r="G51" s="41">
        <f>SUM(G35:G50)</f>
        <v>9419.6999999999989</v>
      </c>
      <c r="H51" s="41">
        <f>SUM(H35:H50)</f>
        <v>0</v>
      </c>
      <c r="I51" s="41">
        <f>SUM(I35:I50)</f>
        <v>0</v>
      </c>
      <c r="J51" s="41">
        <f>SUM(J35:J50)</f>
        <v>51146.49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571451.84000000008</v>
      </c>
      <c r="G52" s="41">
        <f>G51+G32</f>
        <v>12900.609999999999</v>
      </c>
      <c r="H52" s="41">
        <f>H51+H32</f>
        <v>33331.74</v>
      </c>
      <c r="I52" s="41">
        <f>I51+I32</f>
        <v>0</v>
      </c>
      <c r="J52" s="41">
        <f>J51+J32</f>
        <v>61984.49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2951164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2951164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455.02</v>
      </c>
      <c r="G96" s="18"/>
      <c r="H96" s="18"/>
      <c r="I96" s="18"/>
      <c r="J96" s="18">
        <v>15.74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39920.69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70</v>
      </c>
      <c r="G102" s="18"/>
      <c r="H102" s="18">
        <v>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>
        <v>600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27206.8+10</f>
        <v>27216.799999999999</v>
      </c>
      <c r="G109" s="18">
        <v>0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0</v>
      </c>
      <c r="G110" s="18">
        <v>0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27741.82</v>
      </c>
      <c r="G111" s="41">
        <f>SUM(G96:G110)</f>
        <v>40520.69</v>
      </c>
      <c r="H111" s="41">
        <f>SUM(H96:H110)</f>
        <v>0</v>
      </c>
      <c r="I111" s="41">
        <f>SUM(I96:I110)</f>
        <v>0</v>
      </c>
      <c r="J111" s="41">
        <f>SUM(J96:J110)</f>
        <v>15.74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2978905.82</v>
      </c>
      <c r="G112" s="41">
        <f>G60+G111</f>
        <v>40520.69</v>
      </c>
      <c r="H112" s="41">
        <f>H60+H79+H94+H111</f>
        <v>0</v>
      </c>
      <c r="I112" s="41">
        <f>I60+I111</f>
        <v>0</v>
      </c>
      <c r="J112" s="41">
        <f>J60+J111</f>
        <v>15.74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831063.5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411680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1242743.5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191635.94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783.55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191635.94</v>
      </c>
      <c r="G136" s="41">
        <f>SUM(G123:G135)</f>
        <v>783.55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1434379.44</v>
      </c>
      <c r="G140" s="41">
        <f>G121+SUM(G136:G137)</f>
        <v>783.55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12331.37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9304.0300000000007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14430.16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20135.490000000002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49273.88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69389.44+1137.07</f>
        <v>70526.510000000009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70526.510000000009</v>
      </c>
      <c r="G162" s="41">
        <f>SUM(G150:G161)</f>
        <v>20135.490000000002</v>
      </c>
      <c r="H162" s="41">
        <f>SUM(H150:H161)</f>
        <v>85339.44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70526.510000000009</v>
      </c>
      <c r="G169" s="41">
        <f>G147+G162+SUM(G163:G168)</f>
        <v>20135.490000000002</v>
      </c>
      <c r="H169" s="41">
        <f>H147+H162+SUM(H163:H168)</f>
        <v>85339.44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/>
      <c r="I179" s="18"/>
      <c r="J179" s="18">
        <v>15000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4483811.7699999996</v>
      </c>
      <c r="G193" s="47">
        <f>G112+G140+G169+G192</f>
        <v>61439.73000000001</v>
      </c>
      <c r="H193" s="47">
        <f>H112+H140+H169+H192</f>
        <v>85339.44</v>
      </c>
      <c r="I193" s="47">
        <f>I112+I140+I169+I192</f>
        <v>0</v>
      </c>
      <c r="J193" s="47">
        <f>J112+J140+J192</f>
        <v>15015.74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856587.81</v>
      </c>
      <c r="G197" s="18">
        <v>316297.46999999997</v>
      </c>
      <c r="H197" s="18">
        <v>7111.75</v>
      </c>
      <c r="I197" s="18">
        <v>26309.83</v>
      </c>
      <c r="J197" s="18">
        <v>30906.54</v>
      </c>
      <c r="K197" s="18">
        <v>0</v>
      </c>
      <c r="L197" s="19">
        <f>SUM(F197:K197)</f>
        <v>1237213.4000000001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281380.84000000003</v>
      </c>
      <c r="G198" s="18">
        <v>111040.55</v>
      </c>
      <c r="H198" s="18">
        <f>120959.9-75191.16</f>
        <v>45768.739999999991</v>
      </c>
      <c r="I198" s="18">
        <v>3796.66</v>
      </c>
      <c r="J198" s="18">
        <v>8466.1299999999992</v>
      </c>
      <c r="K198" s="18">
        <v>0</v>
      </c>
      <c r="L198" s="19">
        <f>SUM(F198:K198)</f>
        <v>450452.92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7953.7</v>
      </c>
      <c r="G200" s="18">
        <v>1187.05</v>
      </c>
      <c r="H200" s="18">
        <v>0</v>
      </c>
      <c r="I200" s="18">
        <v>224</v>
      </c>
      <c r="J200" s="18">
        <v>0</v>
      </c>
      <c r="K200" s="18">
        <v>0</v>
      </c>
      <c r="L200" s="19">
        <f>SUM(F200:K200)</f>
        <v>9364.75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91884.5</v>
      </c>
      <c r="G202" s="18">
        <v>41139.949999999997</v>
      </c>
      <c r="H202" s="18">
        <v>5439.34</v>
      </c>
      <c r="I202" s="18">
        <v>1348.11</v>
      </c>
      <c r="J202" s="18">
        <v>0</v>
      </c>
      <c r="K202" s="18">
        <v>0</v>
      </c>
      <c r="L202" s="19">
        <f t="shared" ref="L202:L208" si="0">SUM(F202:K202)</f>
        <v>139811.9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64478.43</v>
      </c>
      <c r="G203" s="18">
        <v>14007.7</v>
      </c>
      <c r="H203" s="18">
        <v>0</v>
      </c>
      <c r="I203" s="18">
        <v>5883.29</v>
      </c>
      <c r="J203" s="18">
        <v>0</v>
      </c>
      <c r="K203" s="18">
        <v>0</v>
      </c>
      <c r="L203" s="19">
        <f t="shared" si="0"/>
        <v>84369.42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3239.18</v>
      </c>
      <c r="G204" s="18">
        <v>263.33</v>
      </c>
      <c r="H204" s="18">
        <v>202433.79</v>
      </c>
      <c r="I204" s="18">
        <v>0</v>
      </c>
      <c r="J204" s="18">
        <v>0</v>
      </c>
      <c r="K204" s="18">
        <v>3005.61</v>
      </c>
      <c r="L204" s="19">
        <f t="shared" si="0"/>
        <v>208941.91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142829.29999999999</v>
      </c>
      <c r="G205" s="18">
        <v>76512.240000000005</v>
      </c>
      <c r="H205" s="18">
        <v>1894.47</v>
      </c>
      <c r="I205" s="18">
        <v>3119.04</v>
      </c>
      <c r="J205" s="18">
        <v>0</v>
      </c>
      <c r="K205" s="18">
        <v>735</v>
      </c>
      <c r="L205" s="19">
        <f t="shared" si="0"/>
        <v>225090.05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83527.27</v>
      </c>
      <c r="G207" s="18">
        <v>37181.589999999997</v>
      </c>
      <c r="H207" s="18">
        <v>86117.97</v>
      </c>
      <c r="I207" s="18">
        <v>62821.46</v>
      </c>
      <c r="J207" s="18">
        <v>0</v>
      </c>
      <c r="K207" s="18">
        <v>0</v>
      </c>
      <c r="L207" s="19">
        <f t="shared" si="0"/>
        <v>269648.29000000004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f>103173.63</f>
        <v>103173.63</v>
      </c>
      <c r="I208" s="18">
        <v>0</v>
      </c>
      <c r="J208" s="18">
        <v>0</v>
      </c>
      <c r="K208" s="18">
        <v>0</v>
      </c>
      <c r="L208" s="19">
        <f t="shared" si="0"/>
        <v>103173.63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11645.84</v>
      </c>
      <c r="I209" s="18">
        <v>3498</v>
      </c>
      <c r="J209" s="18">
        <v>5007.59</v>
      </c>
      <c r="K209" s="18">
        <v>0</v>
      </c>
      <c r="L209" s="19">
        <f>SUM(F209:K209)</f>
        <v>20151.43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1531881.03</v>
      </c>
      <c r="G211" s="41">
        <f t="shared" si="1"/>
        <v>597629.88</v>
      </c>
      <c r="H211" s="41">
        <f t="shared" si="1"/>
        <v>463585.52999999997</v>
      </c>
      <c r="I211" s="41">
        <f t="shared" si="1"/>
        <v>107000.39</v>
      </c>
      <c r="J211" s="41">
        <f t="shared" si="1"/>
        <v>44380.259999999995</v>
      </c>
      <c r="K211" s="41">
        <f t="shared" si="1"/>
        <v>3740.61</v>
      </c>
      <c r="L211" s="41">
        <f t="shared" si="1"/>
        <v>2748217.6999999997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1220822.81</v>
      </c>
      <c r="I215" s="18"/>
      <c r="J215" s="18"/>
      <c r="K215" s="18"/>
      <c r="L215" s="19">
        <f>SUM(F215:K215)</f>
        <v>1220822.81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163511.16</v>
      </c>
      <c r="I216" s="18"/>
      <c r="J216" s="18"/>
      <c r="K216" s="18"/>
      <c r="L216" s="19">
        <f>SUM(F216:K216)</f>
        <v>163511.16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>
        <v>72797.02</v>
      </c>
      <c r="I220" s="18"/>
      <c r="J220" s="18"/>
      <c r="K220" s="18"/>
      <c r="L220" s="19">
        <f t="shared" ref="L220:L226" si="2">SUM(F220:K220)</f>
        <v>72797.02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>
        <v>3264.14</v>
      </c>
      <c r="I223" s="18"/>
      <c r="J223" s="18"/>
      <c r="K223" s="18"/>
      <c r="L223" s="19">
        <f t="shared" si="2"/>
        <v>3264.14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59398.53</v>
      </c>
      <c r="I226" s="18"/>
      <c r="J226" s="18"/>
      <c r="K226" s="18"/>
      <c r="L226" s="19">
        <f t="shared" si="2"/>
        <v>59398.53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1519793.66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1519793.66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1531881.03</v>
      </c>
      <c r="G257" s="41">
        <f t="shared" si="8"/>
        <v>597629.88</v>
      </c>
      <c r="H257" s="41">
        <f t="shared" si="8"/>
        <v>1983379.19</v>
      </c>
      <c r="I257" s="41">
        <f t="shared" si="8"/>
        <v>107000.39</v>
      </c>
      <c r="J257" s="41">
        <f t="shared" si="8"/>
        <v>44380.259999999995</v>
      </c>
      <c r="K257" s="41">
        <f t="shared" si="8"/>
        <v>3740.61</v>
      </c>
      <c r="L257" s="41">
        <f t="shared" si="8"/>
        <v>4268011.3599999994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</v>
      </c>
      <c r="L266" s="19">
        <f t="shared" si="9"/>
        <v>15000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15000</v>
      </c>
      <c r="L270" s="41">
        <f t="shared" si="9"/>
        <v>15000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1531881.03</v>
      </c>
      <c r="G271" s="42">
        <f t="shared" si="11"/>
        <v>597629.88</v>
      </c>
      <c r="H271" s="42">
        <f t="shared" si="11"/>
        <v>1983379.19</v>
      </c>
      <c r="I271" s="42">
        <f t="shared" si="11"/>
        <v>107000.39</v>
      </c>
      <c r="J271" s="42">
        <f t="shared" si="11"/>
        <v>44380.259999999995</v>
      </c>
      <c r="K271" s="42">
        <f t="shared" si="11"/>
        <v>18740.61</v>
      </c>
      <c r="L271" s="42">
        <f t="shared" si="11"/>
        <v>4283011.3599999994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8968.57</v>
      </c>
      <c r="G276" s="18">
        <v>1648.11</v>
      </c>
      <c r="H276" s="18">
        <v>4367.28</v>
      </c>
      <c r="I276" s="18">
        <v>6651.44</v>
      </c>
      <c r="J276" s="18">
        <v>0</v>
      </c>
      <c r="K276" s="18">
        <v>0</v>
      </c>
      <c r="L276" s="19">
        <f>SUM(F276:K276)</f>
        <v>21635.399999999998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39998.870000000003</v>
      </c>
      <c r="G277" s="18">
        <v>6327.76</v>
      </c>
      <c r="H277" s="18">
        <v>2540.5</v>
      </c>
      <c r="I277" s="18">
        <v>406.75</v>
      </c>
      <c r="J277" s="18">
        <v>0</v>
      </c>
      <c r="K277" s="18">
        <v>0</v>
      </c>
      <c r="L277" s="19">
        <f>SUM(F277:K277)</f>
        <v>49273.880000000005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>
        <v>0</v>
      </c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5162.5</v>
      </c>
      <c r="G282" s="18">
        <v>964.88</v>
      </c>
      <c r="H282" s="18">
        <v>7180.39</v>
      </c>
      <c r="I282" s="18">
        <v>0</v>
      </c>
      <c r="J282" s="18">
        <v>0</v>
      </c>
      <c r="K282" s="18">
        <v>195</v>
      </c>
      <c r="L282" s="19">
        <f t="shared" si="12"/>
        <v>13502.77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882.39</v>
      </c>
      <c r="I283" s="18">
        <v>0</v>
      </c>
      <c r="J283" s="18">
        <v>0</v>
      </c>
      <c r="K283" s="18">
        <v>45</v>
      </c>
      <c r="L283" s="19">
        <f t="shared" si="12"/>
        <v>927.39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54129.94</v>
      </c>
      <c r="G290" s="42">
        <f t="shared" si="13"/>
        <v>8940.75</v>
      </c>
      <c r="H290" s="42">
        <f t="shared" si="13"/>
        <v>14970.56</v>
      </c>
      <c r="I290" s="42">
        <f t="shared" si="13"/>
        <v>7058.19</v>
      </c>
      <c r="J290" s="42">
        <f t="shared" si="13"/>
        <v>0</v>
      </c>
      <c r="K290" s="42">
        <f t="shared" si="13"/>
        <v>240</v>
      </c>
      <c r="L290" s="41">
        <f t="shared" si="13"/>
        <v>85339.44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54129.94</v>
      </c>
      <c r="G338" s="41">
        <f t="shared" si="20"/>
        <v>8940.75</v>
      </c>
      <c r="H338" s="41">
        <f t="shared" si="20"/>
        <v>14970.56</v>
      </c>
      <c r="I338" s="41">
        <f t="shared" si="20"/>
        <v>7058.19</v>
      </c>
      <c r="J338" s="41">
        <f t="shared" si="20"/>
        <v>0</v>
      </c>
      <c r="K338" s="41">
        <f t="shared" si="20"/>
        <v>240</v>
      </c>
      <c r="L338" s="41">
        <f t="shared" si="20"/>
        <v>85339.44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54129.94</v>
      </c>
      <c r="G352" s="41">
        <f>G338</f>
        <v>8940.75</v>
      </c>
      <c r="H352" s="41">
        <f>H338</f>
        <v>14970.56</v>
      </c>
      <c r="I352" s="41">
        <f>I338</f>
        <v>7058.19</v>
      </c>
      <c r="J352" s="41">
        <f>J338</f>
        <v>0</v>
      </c>
      <c r="K352" s="47">
        <f>K338+K351</f>
        <v>240</v>
      </c>
      <c r="L352" s="41">
        <f>L338+L351</f>
        <v>85339.44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23831.16</v>
      </c>
      <c r="G358" s="18">
        <v>2931.81</v>
      </c>
      <c r="H358" s="18">
        <v>5891.47</v>
      </c>
      <c r="I358" s="18">
        <v>29914.36</v>
      </c>
      <c r="J358" s="18">
        <v>13298.84</v>
      </c>
      <c r="K358" s="18">
        <v>0.87</v>
      </c>
      <c r="L358" s="13">
        <f>SUM(F358:K358)</f>
        <v>75868.509999999995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23831.16</v>
      </c>
      <c r="G362" s="47">
        <f t="shared" si="22"/>
        <v>2931.81</v>
      </c>
      <c r="H362" s="47">
        <f t="shared" si="22"/>
        <v>5891.47</v>
      </c>
      <c r="I362" s="47">
        <f t="shared" si="22"/>
        <v>29914.36</v>
      </c>
      <c r="J362" s="47">
        <f t="shared" si="22"/>
        <v>13298.84</v>
      </c>
      <c r="K362" s="47">
        <f t="shared" si="22"/>
        <v>0.87</v>
      </c>
      <c r="L362" s="47">
        <f t="shared" si="22"/>
        <v>75868.509999999995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18290.74+8835.13</f>
        <v>27125.870000000003</v>
      </c>
      <c r="G367" s="18"/>
      <c r="H367" s="18"/>
      <c r="I367" s="56">
        <f>SUM(F367:H367)</f>
        <v>27125.870000000003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2788.49</v>
      </c>
      <c r="G368" s="63"/>
      <c r="H368" s="63"/>
      <c r="I368" s="56">
        <f>SUM(F368:H368)</f>
        <v>2788.49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29914.36</v>
      </c>
      <c r="G369" s="47">
        <f>SUM(G367:G368)</f>
        <v>0</v>
      </c>
      <c r="H369" s="47">
        <f>SUM(H367:H368)</f>
        <v>0</v>
      </c>
      <c r="I369" s="47">
        <f>SUM(I367:I368)</f>
        <v>29914.36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15000</v>
      </c>
      <c r="H396" s="18">
        <v>15.74</v>
      </c>
      <c r="I396" s="18"/>
      <c r="J396" s="24" t="s">
        <v>289</v>
      </c>
      <c r="K396" s="24" t="s">
        <v>289</v>
      </c>
      <c r="L396" s="56">
        <f t="shared" si="26"/>
        <v>15015.74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15.74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15015.74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15.74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15015.74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12638</v>
      </c>
      <c r="I422" s="18"/>
      <c r="J422" s="18"/>
      <c r="K422" s="18"/>
      <c r="L422" s="56">
        <f t="shared" si="29"/>
        <v>12638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12638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12638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12638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12638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61984.49</v>
      </c>
      <c r="H442" s="18"/>
      <c r="I442" s="56">
        <f t="shared" si="33"/>
        <v>61984.49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61984.49</v>
      </c>
      <c r="H446" s="13">
        <f>SUM(H439:H445)</f>
        <v>0</v>
      </c>
      <c r="I446" s="13">
        <f>SUM(I439:I445)</f>
        <v>61984.49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10838</v>
      </c>
      <c r="H448" s="18"/>
      <c r="I448" s="56">
        <f>SUM(F448:H448)</f>
        <v>10838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10838</v>
      </c>
      <c r="H452" s="72">
        <f>SUM(H448:H451)</f>
        <v>0</v>
      </c>
      <c r="I452" s="72">
        <f>SUM(I448:I451)</f>
        <v>10838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48768.75+2377.74</f>
        <v>51146.49</v>
      </c>
      <c r="H459" s="18"/>
      <c r="I459" s="56">
        <f t="shared" si="34"/>
        <v>51146.49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51146.49</v>
      </c>
      <c r="H460" s="83">
        <f>SUM(H454:H459)</f>
        <v>0</v>
      </c>
      <c r="I460" s="83">
        <f>SUM(I454:I459)</f>
        <v>51146.49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61984.49</v>
      </c>
      <c r="H461" s="42">
        <f>H452+H460</f>
        <v>0</v>
      </c>
      <c r="I461" s="42">
        <f>I452+I460</f>
        <v>61984.49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82563.08</v>
      </c>
      <c r="G465" s="18">
        <f>29242.79-5394.31</f>
        <v>23848.48</v>
      </c>
      <c r="H465" s="18">
        <v>0</v>
      </c>
      <c r="I465" s="18">
        <v>0</v>
      </c>
      <c r="J465" s="18">
        <f>43930.55+4838.2</f>
        <v>48768.75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4483811.7699999996</v>
      </c>
      <c r="G468" s="18">
        <f t="shared" ref="G468:J468" si="35">G193</f>
        <v>61439.73000000001</v>
      </c>
      <c r="H468" s="18">
        <f t="shared" si="35"/>
        <v>85339.44</v>
      </c>
      <c r="I468" s="18">
        <f t="shared" si="35"/>
        <v>0</v>
      </c>
      <c r="J468" s="18">
        <f t="shared" si="35"/>
        <v>15015.74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4483811.7699999996</v>
      </c>
      <c r="G470" s="53">
        <f>SUM(G468:G469)</f>
        <v>61439.73000000001</v>
      </c>
      <c r="H470" s="53">
        <f>SUM(H468:H469)</f>
        <v>85339.44</v>
      </c>
      <c r="I470" s="53">
        <f>SUM(I468:I469)</f>
        <v>0</v>
      </c>
      <c r="J470" s="53">
        <f>SUM(J468:J469)</f>
        <v>15015.74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4283011.3599999994</v>
      </c>
      <c r="G472" s="18">
        <f>L362</f>
        <v>75868.509999999995</v>
      </c>
      <c r="H472" s="18">
        <f>L352</f>
        <v>85339.44</v>
      </c>
      <c r="I472" s="18"/>
      <c r="J472" s="18">
        <f>L434</f>
        <v>12638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4283011.3599999994</v>
      </c>
      <c r="G474" s="53">
        <f>SUM(G472:G473)</f>
        <v>75868.509999999995</v>
      </c>
      <c r="H474" s="53">
        <f>SUM(H472:H473)</f>
        <v>85339.44</v>
      </c>
      <c r="I474" s="53">
        <f>SUM(I472:I473)</f>
        <v>0</v>
      </c>
      <c r="J474" s="53">
        <f>SUM(J472:J473)</f>
        <v>12638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283363.49000000022</v>
      </c>
      <c r="G476" s="53">
        <f>(G465+G470)- G474</f>
        <v>9419.7000000000116</v>
      </c>
      <c r="H476" s="53">
        <f>(H465+H470)- H474</f>
        <v>0</v>
      </c>
      <c r="I476" s="53">
        <f>(I465+I470)- I474</f>
        <v>0</v>
      </c>
      <c r="J476" s="53">
        <f>(J465+J470)- J474</f>
        <v>51146.49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6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6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6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228993.82</v>
      </c>
      <c r="G521" s="18">
        <v>75981.97</v>
      </c>
      <c r="H521" s="18">
        <v>14931.57</v>
      </c>
      <c r="I521" s="18">
        <v>4203.41</v>
      </c>
      <c r="J521" s="18">
        <v>8466.1299999999992</v>
      </c>
      <c r="K521" s="18"/>
      <c r="L521" s="88">
        <f>SUM(F521:K521)</f>
        <v>332576.90000000002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163511.16</v>
      </c>
      <c r="I522" s="18"/>
      <c r="J522" s="18"/>
      <c r="K522" s="18"/>
      <c r="L522" s="88">
        <f>SUM(F522:K522)</f>
        <v>163511.16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228993.82</v>
      </c>
      <c r="G524" s="108">
        <f t="shared" ref="G524:L524" si="37">SUM(G521:G523)</f>
        <v>75981.97</v>
      </c>
      <c r="H524" s="108">
        <f t="shared" si="37"/>
        <v>178442.73</v>
      </c>
      <c r="I524" s="108">
        <f t="shared" si="37"/>
        <v>4203.41</v>
      </c>
      <c r="J524" s="108">
        <f t="shared" si="37"/>
        <v>8466.1299999999992</v>
      </c>
      <c r="K524" s="108">
        <f t="shared" si="37"/>
        <v>0</v>
      </c>
      <c r="L524" s="89">
        <f t="shared" si="37"/>
        <v>496088.06000000006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83063.63</v>
      </c>
      <c r="G526" s="18">
        <v>40484.620000000003</v>
      </c>
      <c r="H526" s="18">
        <v>29729.37</v>
      </c>
      <c r="I526" s="18"/>
      <c r="J526" s="18"/>
      <c r="K526" s="18"/>
      <c r="L526" s="88">
        <f>SUM(F526:K526)</f>
        <v>153277.62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72797.02</v>
      </c>
      <c r="I527" s="18"/>
      <c r="J527" s="18"/>
      <c r="K527" s="18"/>
      <c r="L527" s="88">
        <f>SUM(F527:K527)</f>
        <v>72797.02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83063.63</v>
      </c>
      <c r="G529" s="89">
        <f t="shared" ref="G529:L529" si="38">SUM(G526:G528)</f>
        <v>40484.620000000003</v>
      </c>
      <c r="H529" s="89">
        <f t="shared" si="38"/>
        <v>102526.39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226074.64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9322.26</v>
      </c>
      <c r="G531" s="18">
        <v>901.72</v>
      </c>
      <c r="H531" s="18">
        <v>3648.3</v>
      </c>
      <c r="I531" s="18"/>
      <c r="J531" s="18"/>
      <c r="K531" s="18"/>
      <c r="L531" s="88">
        <f>SUM(F531:K531)</f>
        <v>13872.279999999999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3264.14</v>
      </c>
      <c r="I532" s="18"/>
      <c r="J532" s="18"/>
      <c r="K532" s="18"/>
      <c r="L532" s="88">
        <f>SUM(F532:K532)</f>
        <v>3264.14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9322.26</v>
      </c>
      <c r="G534" s="89">
        <f t="shared" ref="G534:L534" si="39">SUM(G531:G533)</f>
        <v>901.72</v>
      </c>
      <c r="H534" s="89">
        <f t="shared" si="39"/>
        <v>6912.4400000000005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17136.419999999998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22647.69</v>
      </c>
      <c r="I541" s="18"/>
      <c r="J541" s="18"/>
      <c r="K541" s="18"/>
      <c r="L541" s="88">
        <f>SUM(F541:K541)</f>
        <v>22647.69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26016.17</v>
      </c>
      <c r="I542" s="18"/>
      <c r="J542" s="18"/>
      <c r="K542" s="18"/>
      <c r="L542" s="88">
        <f>SUM(F542:K542)</f>
        <v>26016.17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48663.86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48663.86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321379.71000000002</v>
      </c>
      <c r="G545" s="89">
        <f t="shared" ref="G545:L545" si="42">G524+G529+G534+G539+G544</f>
        <v>117368.31</v>
      </c>
      <c r="H545" s="89">
        <f t="shared" si="42"/>
        <v>336545.42</v>
      </c>
      <c r="I545" s="89">
        <f t="shared" si="42"/>
        <v>4203.41</v>
      </c>
      <c r="J545" s="89">
        <f t="shared" si="42"/>
        <v>8466.1299999999992</v>
      </c>
      <c r="K545" s="89">
        <f t="shared" si="42"/>
        <v>0</v>
      </c>
      <c r="L545" s="89">
        <f t="shared" si="42"/>
        <v>787962.9800000001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332576.90000000002</v>
      </c>
      <c r="G549" s="87">
        <f>L526</f>
        <v>153277.62</v>
      </c>
      <c r="H549" s="87">
        <f>L531</f>
        <v>13872.279999999999</v>
      </c>
      <c r="I549" s="87">
        <f>L536</f>
        <v>0</v>
      </c>
      <c r="J549" s="87">
        <f>L541</f>
        <v>22647.69</v>
      </c>
      <c r="K549" s="87">
        <f>SUM(F549:J549)</f>
        <v>522374.49000000005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163511.16</v>
      </c>
      <c r="G550" s="87">
        <f>L527</f>
        <v>72797.02</v>
      </c>
      <c r="H550" s="87">
        <f>L532</f>
        <v>3264.14</v>
      </c>
      <c r="I550" s="87">
        <f>L537</f>
        <v>0</v>
      </c>
      <c r="J550" s="87">
        <f>L542</f>
        <v>26016.17</v>
      </c>
      <c r="K550" s="87">
        <f>SUM(F550:J550)</f>
        <v>265588.49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496088.06000000006</v>
      </c>
      <c r="G552" s="89">
        <f t="shared" si="43"/>
        <v>226074.64</v>
      </c>
      <c r="H552" s="89">
        <f t="shared" si="43"/>
        <v>17136.419999999998</v>
      </c>
      <c r="I552" s="89">
        <f t="shared" si="43"/>
        <v>0</v>
      </c>
      <c r="J552" s="89">
        <f t="shared" si="43"/>
        <v>48663.86</v>
      </c>
      <c r="K552" s="89">
        <f t="shared" si="43"/>
        <v>787962.98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1220822.81</v>
      </c>
      <c r="H575" s="18"/>
      <c r="I575" s="87">
        <f>SUM(F575:H575)</f>
        <v>1220822.81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1110</v>
      </c>
      <c r="G582" s="18"/>
      <c r="H582" s="18"/>
      <c r="I582" s="87">
        <f t="shared" si="48"/>
        <v>1110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75790.63</v>
      </c>
      <c r="I591" s="18">
        <v>33382.36</v>
      </c>
      <c r="J591" s="18"/>
      <c r="K591" s="104">
        <f t="shared" ref="K591:K597" si="49">SUM(H591:J591)</f>
        <v>109172.99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22647.69</v>
      </c>
      <c r="I592" s="18">
        <v>26016.17</v>
      </c>
      <c r="J592" s="18"/>
      <c r="K592" s="104">
        <f t="shared" si="49"/>
        <v>48663.86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4735.3100000000004</v>
      </c>
      <c r="I595" s="18"/>
      <c r="J595" s="18"/>
      <c r="K595" s="104">
        <f t="shared" si="49"/>
        <v>4735.3100000000004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103173.63</v>
      </c>
      <c r="I598" s="108">
        <f>SUM(I591:I597)</f>
        <v>59398.53</v>
      </c>
      <c r="J598" s="108">
        <f>SUM(J591:J597)</f>
        <v>0</v>
      </c>
      <c r="K598" s="108">
        <f>SUM(K591:K597)</f>
        <v>162572.16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44380.26</v>
      </c>
      <c r="I604" s="18"/>
      <c r="J604" s="18"/>
      <c r="K604" s="104">
        <f>SUM(H604:J604)</f>
        <v>44380.26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44380.26</v>
      </c>
      <c r="I605" s="108">
        <f>SUM(I602:I604)</f>
        <v>0</v>
      </c>
      <c r="J605" s="108">
        <f>SUM(J602:J604)</f>
        <v>0</v>
      </c>
      <c r="K605" s="108">
        <f>SUM(K602:K604)</f>
        <v>44380.26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571451.84</v>
      </c>
      <c r="H617" s="109">
        <f>SUM(F52)</f>
        <v>571451.84000000008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12900.609999999999</v>
      </c>
      <c r="H618" s="109">
        <f>SUM(G52)</f>
        <v>12900.609999999999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33331.74</v>
      </c>
      <c r="H619" s="109">
        <f>SUM(H52)</f>
        <v>33331.74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61984.49</v>
      </c>
      <c r="H621" s="109">
        <f>SUM(J52)</f>
        <v>61984.49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283363.49</v>
      </c>
      <c r="H622" s="109">
        <f>F476</f>
        <v>283363.49000000022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9419.6999999999989</v>
      </c>
      <c r="H623" s="109">
        <f>G476</f>
        <v>9419.7000000000116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51146.49</v>
      </c>
      <c r="H626" s="109">
        <f>J476</f>
        <v>51146.49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4483811.7699999996</v>
      </c>
      <c r="H627" s="104">
        <f>SUM(F468)</f>
        <v>4483811.7699999996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61439.73000000001</v>
      </c>
      <c r="H628" s="104">
        <f>SUM(G468)</f>
        <v>61439.73000000001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85339.44</v>
      </c>
      <c r="H629" s="104">
        <f>SUM(H468)</f>
        <v>85339.44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15015.74</v>
      </c>
      <c r="H631" s="104">
        <f>SUM(J468)</f>
        <v>15015.74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4283011.3599999994</v>
      </c>
      <c r="H632" s="104">
        <f>SUM(F472)</f>
        <v>4283011.3599999994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85339.44</v>
      </c>
      <c r="H633" s="104">
        <f>SUM(H472)</f>
        <v>85339.44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29914.36</v>
      </c>
      <c r="H634" s="104">
        <f>I369</f>
        <v>29914.36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75868.509999999995</v>
      </c>
      <c r="H635" s="104">
        <f>SUM(G472)</f>
        <v>75868.509999999995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15015.74</v>
      </c>
      <c r="H637" s="164">
        <f>SUM(J468)</f>
        <v>15015.74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12638</v>
      </c>
      <c r="H638" s="164">
        <f>SUM(J472)</f>
        <v>12638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61984.49</v>
      </c>
      <c r="H640" s="104">
        <f>SUM(G461)</f>
        <v>61984.49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61984.49</v>
      </c>
      <c r="H642" s="104">
        <f>SUM(I461)</f>
        <v>61984.49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15.74</v>
      </c>
      <c r="H644" s="104">
        <f>H408</f>
        <v>15.74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</v>
      </c>
      <c r="H645" s="104">
        <f>G408</f>
        <v>15000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15015.74</v>
      </c>
      <c r="H646" s="104">
        <f>L408</f>
        <v>15015.74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162572.16</v>
      </c>
      <c r="H647" s="104">
        <f>L208+L226+L244</f>
        <v>162572.16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44380.26</v>
      </c>
      <c r="H648" s="104">
        <f>(J257+J338)-(J255+J336)</f>
        <v>44380.259999999995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103173.63</v>
      </c>
      <c r="H649" s="104">
        <f>H598</f>
        <v>103173.63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59398.53</v>
      </c>
      <c r="H650" s="104">
        <f>I598</f>
        <v>59398.53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</v>
      </c>
      <c r="H655" s="104">
        <f>K266+K347</f>
        <v>15000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2909425.6499999994</v>
      </c>
      <c r="G660" s="19">
        <f>(L229+L309+L359)</f>
        <v>1519793.66</v>
      </c>
      <c r="H660" s="19">
        <f>(L247+L328+L360)</f>
        <v>0</v>
      </c>
      <c r="I660" s="19">
        <f>SUM(F660:H660)</f>
        <v>4429219.3099999996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40520.69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40520.69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103173.63</v>
      </c>
      <c r="G662" s="19">
        <f>(L226+L306)-(J226+J306)</f>
        <v>59398.53</v>
      </c>
      <c r="H662" s="19">
        <f>(L244+L325)-(J244+J325)</f>
        <v>0</v>
      </c>
      <c r="I662" s="19">
        <f>SUM(F662:H662)</f>
        <v>162572.16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45490.26</v>
      </c>
      <c r="G663" s="199">
        <f>SUM(G575:G587)+SUM(I602:I604)+L612</f>
        <v>1220822.81</v>
      </c>
      <c r="H663" s="199">
        <f>SUM(H575:H587)+SUM(J602:J604)+L613</f>
        <v>0</v>
      </c>
      <c r="I663" s="19">
        <f>SUM(F663:H663)</f>
        <v>1266313.07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2720241.0699999994</v>
      </c>
      <c r="G664" s="19">
        <f>G660-SUM(G661:G663)</f>
        <v>239572.31999999983</v>
      </c>
      <c r="H664" s="19">
        <f>H660-SUM(H661:H663)</f>
        <v>0</v>
      </c>
      <c r="I664" s="19">
        <f>I660-SUM(I661:I663)</f>
        <v>2959813.3899999997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179.36</v>
      </c>
      <c r="G665" s="248">
        <v>0</v>
      </c>
      <c r="H665" s="248"/>
      <c r="I665" s="19">
        <f>SUM(F665:H665)</f>
        <v>179.36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15166.38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16502.080000000002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-239572.32</v>
      </c>
      <c r="H669" s="18"/>
      <c r="I669" s="19">
        <f>SUM(F669:H669)</f>
        <v>-239572.32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15166.38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15166.38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MONT VERNON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865556.38</v>
      </c>
      <c r="C9" s="229">
        <f>'DOE25'!G197+'DOE25'!G215+'DOE25'!G233+'DOE25'!G276+'DOE25'!G295+'DOE25'!G314</f>
        <v>317945.57999999996</v>
      </c>
    </row>
    <row r="10" spans="1:3" x14ac:dyDescent="0.2">
      <c r="A10" t="s">
        <v>779</v>
      </c>
      <c r="B10" s="240">
        <f>856220.58+158.34</f>
        <v>856378.91999999993</v>
      </c>
      <c r="C10" s="240">
        <v>317243.51</v>
      </c>
    </row>
    <row r="11" spans="1:3" x14ac:dyDescent="0.2">
      <c r="A11" t="s">
        <v>780</v>
      </c>
      <c r="B11" s="240">
        <v>4252.46</v>
      </c>
      <c r="C11" s="240">
        <v>325.31</v>
      </c>
    </row>
    <row r="12" spans="1:3" x14ac:dyDescent="0.2">
      <c r="A12" t="s">
        <v>781</v>
      </c>
      <c r="B12" s="240">
        <v>4925</v>
      </c>
      <c r="C12" s="240">
        <v>376.76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865556.37999999989</v>
      </c>
      <c r="C13" s="231">
        <f>SUM(C10:C12)</f>
        <v>317945.58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321379.71000000002</v>
      </c>
      <c r="C18" s="229">
        <f>'DOE25'!G198+'DOE25'!G216+'DOE25'!G234+'DOE25'!G277+'DOE25'!G296+'DOE25'!G315</f>
        <v>117368.31</v>
      </c>
    </row>
    <row r="19" spans="1:3" x14ac:dyDescent="0.2">
      <c r="A19" t="s">
        <v>779</v>
      </c>
      <c r="B19" s="240">
        <f>121484.8-325</f>
        <v>121159.8</v>
      </c>
      <c r="C19" s="240">
        <v>44247.72</v>
      </c>
    </row>
    <row r="20" spans="1:3" x14ac:dyDescent="0.2">
      <c r="A20" t="s">
        <v>780</v>
      </c>
      <c r="B20" s="240">
        <v>107568.46</v>
      </c>
      <c r="C20" s="240">
        <v>39284.15</v>
      </c>
    </row>
    <row r="21" spans="1:3" x14ac:dyDescent="0.2">
      <c r="A21" t="s">
        <v>781</v>
      </c>
      <c r="B21" s="240">
        <v>92651.45</v>
      </c>
      <c r="C21" s="240">
        <v>33836.44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321379.71000000002</v>
      </c>
      <c r="C22" s="231">
        <f>SUM(C19:C21)</f>
        <v>117368.31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7953.7</v>
      </c>
      <c r="C36" s="235">
        <f>'DOE25'!G200+'DOE25'!G218+'DOE25'!G236+'DOE25'!G279+'DOE25'!G298+'DOE25'!G317</f>
        <v>1187.05</v>
      </c>
    </row>
    <row r="37" spans="1:3" x14ac:dyDescent="0.2">
      <c r="A37" t="s">
        <v>779</v>
      </c>
      <c r="B37" s="240">
        <v>7189</v>
      </c>
      <c r="C37" s="240">
        <v>1072.92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764.7</v>
      </c>
      <c r="C39" s="240">
        <v>114.13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7953.7</v>
      </c>
      <c r="C40" s="231">
        <f>SUM(C37:C39)</f>
        <v>1187.0500000000002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MONT VERNON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3081365.04</v>
      </c>
      <c r="D5" s="20">
        <f>SUM('DOE25'!L197:L200)+SUM('DOE25'!L215:L218)+SUM('DOE25'!L233:L236)-F5-G5</f>
        <v>3041992.37</v>
      </c>
      <c r="E5" s="243"/>
      <c r="F5" s="255">
        <f>SUM('DOE25'!J197:J200)+SUM('DOE25'!J215:J218)+SUM('DOE25'!J233:J236)</f>
        <v>39372.67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212608.91999999998</v>
      </c>
      <c r="D6" s="20">
        <f>'DOE25'!L202+'DOE25'!L220+'DOE25'!L238-F6-G6</f>
        <v>212608.91999999998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84369.42</v>
      </c>
      <c r="D7" s="20">
        <f>'DOE25'!L203+'DOE25'!L221+'DOE25'!L239-F7-G7</f>
        <v>84369.42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208941.91</v>
      </c>
      <c r="D8" s="243"/>
      <c r="E8" s="20">
        <f>'DOE25'!L204+'DOE25'!L222+'DOE25'!L240-F8-G8-D9-D11</f>
        <v>205936.30000000002</v>
      </c>
      <c r="F8" s="255">
        <f>'DOE25'!J204+'DOE25'!J222+'DOE25'!J240</f>
        <v>0</v>
      </c>
      <c r="G8" s="53">
        <f>'DOE25'!K204+'DOE25'!K222+'DOE25'!K240</f>
        <v>3005.61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228354.19</v>
      </c>
      <c r="D12" s="20">
        <f>'DOE25'!L205+'DOE25'!L223+'DOE25'!L241-F12-G12</f>
        <v>227619.19</v>
      </c>
      <c r="E12" s="243"/>
      <c r="F12" s="255">
        <f>'DOE25'!J205+'DOE25'!J223+'DOE25'!J241</f>
        <v>0</v>
      </c>
      <c r="G12" s="53">
        <f>'DOE25'!K205+'DOE25'!K223+'DOE25'!K241</f>
        <v>735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269648.29000000004</v>
      </c>
      <c r="D14" s="20">
        <f>'DOE25'!L207+'DOE25'!L225+'DOE25'!L243-F14-G14</f>
        <v>269648.29000000004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162572.16</v>
      </c>
      <c r="D15" s="20">
        <f>'DOE25'!L208+'DOE25'!L226+'DOE25'!L244-F15-G15</f>
        <v>162572.16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20151.43</v>
      </c>
      <c r="D16" s="243"/>
      <c r="E16" s="20">
        <f>'DOE25'!L209+'DOE25'!L227+'DOE25'!L245-F16-G16</f>
        <v>15143.84</v>
      </c>
      <c r="F16" s="255">
        <f>'DOE25'!J209+'DOE25'!J227+'DOE25'!J245</f>
        <v>5007.59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48742.639999999992</v>
      </c>
      <c r="D29" s="20">
        <f>'DOE25'!L358+'DOE25'!L359+'DOE25'!L360-'DOE25'!I367-F29-G29</f>
        <v>35442.929999999986</v>
      </c>
      <c r="E29" s="243"/>
      <c r="F29" s="255">
        <f>'DOE25'!J358+'DOE25'!J359+'DOE25'!J360</f>
        <v>13298.84</v>
      </c>
      <c r="G29" s="53">
        <f>'DOE25'!K358+'DOE25'!K359+'DOE25'!K360</f>
        <v>0.87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85339.44</v>
      </c>
      <c r="D31" s="20">
        <f>'DOE25'!L290+'DOE25'!L309+'DOE25'!L328+'DOE25'!L333+'DOE25'!L334+'DOE25'!L335-F31-G31</f>
        <v>85099.44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240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4119352.72</v>
      </c>
      <c r="E33" s="246">
        <f>SUM(E5:E31)</f>
        <v>221080.14</v>
      </c>
      <c r="F33" s="246">
        <f>SUM(F5:F31)</f>
        <v>57679.099999999991</v>
      </c>
      <c r="G33" s="246">
        <f>SUM(G5:G31)</f>
        <v>3981.48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221080.14</v>
      </c>
      <c r="E35" s="249"/>
    </row>
    <row r="36" spans="2:8" ht="12" thickTop="1" x14ac:dyDescent="0.2">
      <c r="B36" t="s">
        <v>815</v>
      </c>
      <c r="D36" s="20">
        <f>D33</f>
        <v>4119352.72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MONT VERNON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534647.72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33548.550000000003</v>
      </c>
      <c r="D11" s="95">
        <f>'DOE25'!G12</f>
        <v>10610.72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1497.07</v>
      </c>
      <c r="D12" s="95">
        <f>'DOE25'!G13</f>
        <v>2289.89</v>
      </c>
      <c r="E12" s="95">
        <f>'DOE25'!H13</f>
        <v>33331.74</v>
      </c>
      <c r="F12" s="95">
        <f>'DOE25'!I13</f>
        <v>0</v>
      </c>
      <c r="G12" s="95">
        <f>'DOE25'!J13</f>
        <v>61984.49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1758.5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571451.84</v>
      </c>
      <c r="D18" s="41">
        <f>SUM(D8:D17)</f>
        <v>12900.609999999999</v>
      </c>
      <c r="E18" s="41">
        <f>SUM(E8:E17)</f>
        <v>33331.74</v>
      </c>
      <c r="F18" s="41">
        <f>SUM(F8:F17)</f>
        <v>0</v>
      </c>
      <c r="G18" s="41">
        <f>SUM(G8:G17)</f>
        <v>61984.49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33321.269999999997</v>
      </c>
      <c r="F21" s="95">
        <f>'DOE25'!I22</f>
        <v>0</v>
      </c>
      <c r="G21" s="95">
        <f>'DOE25'!J22</f>
        <v>10838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280862.64</v>
      </c>
      <c r="D22" s="95">
        <f>'DOE25'!G23</f>
        <v>3480.91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1582.76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4964.3599999999997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10.47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678.59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288088.35000000003</v>
      </c>
      <c r="D31" s="41">
        <f>SUM(D21:D30)</f>
        <v>3480.91</v>
      </c>
      <c r="E31" s="41">
        <f>SUM(E21:E30)</f>
        <v>33331.74</v>
      </c>
      <c r="F31" s="41">
        <f>SUM(F21:F30)</f>
        <v>0</v>
      </c>
      <c r="G31" s="41">
        <f>SUM(G21:G30)</f>
        <v>10838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9178.6999999999989</v>
      </c>
      <c r="E47" s="95">
        <f>'DOE25'!H48</f>
        <v>0</v>
      </c>
      <c r="F47" s="95">
        <f>'DOE25'!I48</f>
        <v>0</v>
      </c>
      <c r="G47" s="95">
        <f>'DOE25'!J48</f>
        <v>51146.49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185440.35</v>
      </c>
      <c r="D48" s="95">
        <f>'DOE25'!G49</f>
        <v>241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97923.139999999985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283363.49</v>
      </c>
      <c r="D50" s="41">
        <f>SUM(D34:D49)</f>
        <v>9419.6999999999989</v>
      </c>
      <c r="E50" s="41">
        <f>SUM(E34:E49)</f>
        <v>0</v>
      </c>
      <c r="F50" s="41">
        <f>SUM(F34:F49)</f>
        <v>0</v>
      </c>
      <c r="G50" s="41">
        <f>SUM(G34:G49)</f>
        <v>51146.49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571451.84000000008</v>
      </c>
      <c r="D51" s="41">
        <f>D50+D31</f>
        <v>12900.609999999999</v>
      </c>
      <c r="E51" s="41">
        <f>E50+E31</f>
        <v>33331.74</v>
      </c>
      <c r="F51" s="41">
        <f>F50+F31</f>
        <v>0</v>
      </c>
      <c r="G51" s="41">
        <f>G50+G31</f>
        <v>61984.49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2951164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455.02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15.74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39920.69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27286.799999999999</v>
      </c>
      <c r="D61" s="95">
        <f>SUM('DOE25'!G98:G110)</f>
        <v>600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27741.82</v>
      </c>
      <c r="D62" s="130">
        <f>SUM(D57:D61)</f>
        <v>40520.69</v>
      </c>
      <c r="E62" s="130">
        <f>SUM(E57:E61)</f>
        <v>0</v>
      </c>
      <c r="F62" s="130">
        <f>SUM(F57:F61)</f>
        <v>0</v>
      </c>
      <c r="G62" s="130">
        <f>SUM(G57:G61)</f>
        <v>15.74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2978905.82</v>
      </c>
      <c r="D63" s="22">
        <f>D56+D62</f>
        <v>40520.69</v>
      </c>
      <c r="E63" s="22">
        <f>E56+E62</f>
        <v>0</v>
      </c>
      <c r="F63" s="22">
        <f>F56+F62</f>
        <v>0</v>
      </c>
      <c r="G63" s="22">
        <f>G56+G62</f>
        <v>15.74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831063.5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411680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1242743.5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191635.94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783.55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191635.94</v>
      </c>
      <c r="D78" s="130">
        <f>SUM(D72:D77)</f>
        <v>783.55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1434379.44</v>
      </c>
      <c r="D81" s="130">
        <f>SUM(D79:D80)+D78+D70</f>
        <v>783.55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12331.37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70526.510000000009</v>
      </c>
      <c r="D88" s="95">
        <f>SUM('DOE25'!G153:G161)</f>
        <v>20135.490000000002</v>
      </c>
      <c r="E88" s="95">
        <f>SUM('DOE25'!H153:H161)</f>
        <v>73008.070000000007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70526.510000000009</v>
      </c>
      <c r="D91" s="131">
        <f>SUM(D85:D90)</f>
        <v>20135.490000000002</v>
      </c>
      <c r="E91" s="131">
        <f>SUM(E85:E90)</f>
        <v>85339.44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765</v>
      </c>
      <c r="C104" s="86">
        <f>C63+C81+C91+C103</f>
        <v>4483811.7699999996</v>
      </c>
      <c r="D104" s="86">
        <f>D63+D81+D91+D103</f>
        <v>61439.73000000001</v>
      </c>
      <c r="E104" s="86">
        <f>E63+E81+E91+E103</f>
        <v>85339.44</v>
      </c>
      <c r="F104" s="86">
        <f>F63+F81+F91+F103</f>
        <v>0</v>
      </c>
      <c r="G104" s="86">
        <f>G63+G81+G103</f>
        <v>15015.74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2458036.21</v>
      </c>
      <c r="D109" s="24" t="s">
        <v>289</v>
      </c>
      <c r="E109" s="95">
        <f>('DOE25'!L276)+('DOE25'!L295)+('DOE25'!L314)</f>
        <v>21635.399999999998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613964.07999999996</v>
      </c>
      <c r="D110" s="24" t="s">
        <v>289</v>
      </c>
      <c r="E110" s="95">
        <f>('DOE25'!L277)+('DOE25'!L296)+('DOE25'!L315)</f>
        <v>49273.880000000005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9364.75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3081365.04</v>
      </c>
      <c r="D115" s="86">
        <f>SUM(D109:D114)</f>
        <v>0</v>
      </c>
      <c r="E115" s="86">
        <f>SUM(E109:E114)</f>
        <v>70909.279999999999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212608.91999999998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84369.42</v>
      </c>
      <c r="D119" s="24" t="s">
        <v>289</v>
      </c>
      <c r="E119" s="95">
        <f>+('DOE25'!L282)+('DOE25'!L301)+('DOE25'!L320)</f>
        <v>13502.77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208941.91</v>
      </c>
      <c r="D120" s="24" t="s">
        <v>289</v>
      </c>
      <c r="E120" s="95">
        <f>+('DOE25'!L283)+('DOE25'!L302)+('DOE25'!L321)</f>
        <v>927.39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228354.19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269648.29000000004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162572.16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20151.43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75868.509999999995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1186646.3199999998</v>
      </c>
      <c r="D128" s="86">
        <f>SUM(D118:D127)</f>
        <v>75868.509999999995</v>
      </c>
      <c r="E128" s="86">
        <f>SUM(E118:E127)</f>
        <v>14430.16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15015.74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-15.739999999999782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4283011.3599999994</v>
      </c>
      <c r="D145" s="86">
        <f>(D115+D128+D144)</f>
        <v>75868.509999999995</v>
      </c>
      <c r="E145" s="86">
        <f>(E115+E128+E144)</f>
        <v>85339.44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MONT VERNON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15166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15166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2479672</v>
      </c>
      <c r="D10" s="182">
        <f>ROUND((C10/$C$28)*100,1)</f>
        <v>56.5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663238</v>
      </c>
      <c r="D11" s="182">
        <f>ROUND((C11/$C$28)*100,1)</f>
        <v>15.1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9365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212609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97872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230021</v>
      </c>
      <c r="D17" s="182">
        <f t="shared" si="0"/>
        <v>5.2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228354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269648</v>
      </c>
      <c r="D20" s="182">
        <f t="shared" si="0"/>
        <v>6.1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162572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35348.31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4388699.3099999996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4388699.3099999996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2951164</v>
      </c>
      <c r="D35" s="182">
        <f t="shared" ref="D35:D40" si="1">ROUND((C35/$C$41)*100,1)</f>
        <v>64.3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27757.560000000056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1242744</v>
      </c>
      <c r="D37" s="182">
        <f t="shared" si="1"/>
        <v>27.1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192419</v>
      </c>
      <c r="D38" s="182">
        <f t="shared" si="1"/>
        <v>4.2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176001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4590085.5600000005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MONT VERNON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2014-08-13T18:01:34Z</cp:lastPrinted>
  <dcterms:created xsi:type="dcterms:W3CDTF">1997-12-04T19:04:30Z</dcterms:created>
  <dcterms:modified xsi:type="dcterms:W3CDTF">2014-08-14T13:17:36Z</dcterms:modified>
</cp:coreProperties>
</file>