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C10" i="12" s="1"/>
  <c r="C11" i="12" s="1"/>
  <c r="H244" i="1"/>
  <c r="L244" i="1" s="1"/>
  <c r="H234" i="1"/>
  <c r="H226" i="1"/>
  <c r="L226" i="1" s="1"/>
  <c r="G650" i="1" s="1"/>
  <c r="H216" i="1"/>
  <c r="H522" i="1" s="1"/>
  <c r="H208" i="1"/>
  <c r="L208" i="1"/>
  <c r="H198" i="1"/>
  <c r="H521" i="1" s="1"/>
  <c r="H524" i="1" s="1"/>
  <c r="H545" i="1" s="1"/>
  <c r="J592" i="1"/>
  <c r="I592" i="1"/>
  <c r="H592" i="1"/>
  <c r="H523" i="1"/>
  <c r="L251" i="1"/>
  <c r="C20" i="12"/>
  <c r="C19" i="12"/>
  <c r="C22" i="12" s="1"/>
  <c r="B20" i="12"/>
  <c r="C12" i="12"/>
  <c r="G440" i="1"/>
  <c r="G459" i="1"/>
  <c r="H400" i="1"/>
  <c r="L400" i="1" s="1"/>
  <c r="L401" i="1" s="1"/>
  <c r="J96" i="1"/>
  <c r="I665" i="1"/>
  <c r="I443" i="1"/>
  <c r="F611" i="1"/>
  <c r="G611" i="1" s="1"/>
  <c r="L611" i="1" s="1"/>
  <c r="F612" i="1"/>
  <c r="H591" i="1"/>
  <c r="I595" i="1"/>
  <c r="K595" i="1" s="1"/>
  <c r="J595" i="1"/>
  <c r="J591" i="1"/>
  <c r="G532" i="1"/>
  <c r="G533" i="1"/>
  <c r="G531" i="1"/>
  <c r="F532" i="1"/>
  <c r="F533" i="1"/>
  <c r="F534" i="1" s="1"/>
  <c r="F531" i="1"/>
  <c r="L531" i="1" s="1"/>
  <c r="H549" i="1" s="1"/>
  <c r="L528" i="1"/>
  <c r="G551" i="1" s="1"/>
  <c r="G552" i="1" s="1"/>
  <c r="G558" i="1"/>
  <c r="G557" i="1"/>
  <c r="L557" i="1"/>
  <c r="K523" i="1"/>
  <c r="K522" i="1"/>
  <c r="F499" i="1"/>
  <c r="B160" i="2"/>
  <c r="F498" i="1"/>
  <c r="F500" i="1" s="1"/>
  <c r="K500" i="1" s="1"/>
  <c r="G277" i="1"/>
  <c r="F276" i="1"/>
  <c r="I276" i="1"/>
  <c r="G276" i="1"/>
  <c r="G290" i="1" s="1"/>
  <c r="G338" i="1" s="1"/>
  <c r="G352" i="1" s="1"/>
  <c r="I282" i="1"/>
  <c r="I290" i="1"/>
  <c r="H282" i="1"/>
  <c r="K290" i="1"/>
  <c r="K266" i="1"/>
  <c r="K261" i="1"/>
  <c r="L261" i="1" s="1"/>
  <c r="K260" i="1"/>
  <c r="L260" i="1"/>
  <c r="I243" i="1"/>
  <c r="H243" i="1"/>
  <c r="L243" i="1" s="1"/>
  <c r="G243" i="1"/>
  <c r="K241" i="1"/>
  <c r="I241" i="1"/>
  <c r="H241" i="1"/>
  <c r="L241" i="1" s="1"/>
  <c r="G241" i="1"/>
  <c r="F241" i="1"/>
  <c r="K240" i="1"/>
  <c r="J240" i="1"/>
  <c r="I240" i="1"/>
  <c r="H240" i="1"/>
  <c r="G240" i="1"/>
  <c r="F240" i="1"/>
  <c r="J239" i="1"/>
  <c r="I239" i="1"/>
  <c r="H239" i="1"/>
  <c r="G239" i="1"/>
  <c r="F239" i="1"/>
  <c r="K239" i="1"/>
  <c r="I238" i="1"/>
  <c r="H238" i="1"/>
  <c r="L238" i="1" s="1"/>
  <c r="G238" i="1"/>
  <c r="F238" i="1"/>
  <c r="K238" i="1"/>
  <c r="J236" i="1"/>
  <c r="I236" i="1"/>
  <c r="H236" i="1"/>
  <c r="G236" i="1"/>
  <c r="F236" i="1"/>
  <c r="K236" i="1"/>
  <c r="J234" i="1"/>
  <c r="J523" i="1" s="1"/>
  <c r="I234" i="1"/>
  <c r="I523" i="1" s="1"/>
  <c r="G234" i="1"/>
  <c r="G523" i="1" s="1"/>
  <c r="F234" i="1"/>
  <c r="F523" i="1" s="1"/>
  <c r="L523" i="1" s="1"/>
  <c r="F551" i="1" s="1"/>
  <c r="J233" i="1"/>
  <c r="I233" i="1"/>
  <c r="H233" i="1"/>
  <c r="H247" i="1" s="1"/>
  <c r="G233" i="1"/>
  <c r="F233" i="1"/>
  <c r="L233" i="1" s="1"/>
  <c r="J203" i="1"/>
  <c r="L266" i="1"/>
  <c r="I225" i="1"/>
  <c r="L225" i="1" s="1"/>
  <c r="H225" i="1"/>
  <c r="G225" i="1"/>
  <c r="I223" i="1"/>
  <c r="H223" i="1"/>
  <c r="L223" i="1" s="1"/>
  <c r="G223" i="1"/>
  <c r="F223" i="1"/>
  <c r="G13" i="13"/>
  <c r="K222" i="1"/>
  <c r="K229" i="1" s="1"/>
  <c r="I222" i="1"/>
  <c r="H222" i="1"/>
  <c r="G222" i="1"/>
  <c r="F222" i="1"/>
  <c r="L222" i="1" s="1"/>
  <c r="C17" i="10" s="1"/>
  <c r="G12" i="13"/>
  <c r="J221" i="1"/>
  <c r="I221" i="1"/>
  <c r="H221" i="1"/>
  <c r="L221" i="1" s="1"/>
  <c r="G221" i="1"/>
  <c r="F221" i="1"/>
  <c r="K221" i="1"/>
  <c r="G7" i="13"/>
  <c r="I220" i="1"/>
  <c r="H220" i="1"/>
  <c r="G220" i="1"/>
  <c r="F220" i="1"/>
  <c r="L220" i="1" s="1"/>
  <c r="D6" i="13" s="1"/>
  <c r="C6" i="13" s="1"/>
  <c r="I218" i="1"/>
  <c r="H218" i="1"/>
  <c r="G218" i="1"/>
  <c r="F218" i="1"/>
  <c r="F229" i="1" s="1"/>
  <c r="K218" i="1"/>
  <c r="G217" i="1"/>
  <c r="F217" i="1"/>
  <c r="L217" i="1"/>
  <c r="G216" i="1"/>
  <c r="G522" i="1"/>
  <c r="F216" i="1"/>
  <c r="F522" i="1"/>
  <c r="L522" i="1" s="1"/>
  <c r="F550" i="1" s="1"/>
  <c r="K550" i="1" s="1"/>
  <c r="J216" i="1"/>
  <c r="J522" i="1"/>
  <c r="I216" i="1"/>
  <c r="I522" i="1"/>
  <c r="L527" i="1"/>
  <c r="G550" i="1"/>
  <c r="J215" i="1"/>
  <c r="I215" i="1"/>
  <c r="I229" i="1" s="1"/>
  <c r="I257" i="1" s="1"/>
  <c r="I271" i="1" s="1"/>
  <c r="H215" i="1"/>
  <c r="G215" i="1"/>
  <c r="F215" i="1"/>
  <c r="J207" i="1"/>
  <c r="F14" i="13" s="1"/>
  <c r="I207" i="1"/>
  <c r="H207" i="1"/>
  <c r="G207" i="1"/>
  <c r="H205" i="1"/>
  <c r="L205" i="1" s="1"/>
  <c r="G205" i="1"/>
  <c r="F205" i="1"/>
  <c r="K204" i="1"/>
  <c r="J204" i="1"/>
  <c r="F8" i="13" s="1"/>
  <c r="F33" i="13" s="1"/>
  <c r="I204" i="1"/>
  <c r="H204" i="1"/>
  <c r="G204" i="1"/>
  <c r="F204" i="1"/>
  <c r="F12" i="13"/>
  <c r="I203" i="1"/>
  <c r="H203" i="1"/>
  <c r="G203" i="1"/>
  <c r="F203" i="1"/>
  <c r="F13" i="13"/>
  <c r="J202" i="1"/>
  <c r="F6" i="13" s="1"/>
  <c r="I202" i="1"/>
  <c r="G202" i="1"/>
  <c r="F202" i="1"/>
  <c r="K202" i="1"/>
  <c r="I200" i="1"/>
  <c r="G200" i="1"/>
  <c r="F200" i="1"/>
  <c r="H200" i="1"/>
  <c r="I198" i="1"/>
  <c r="I521" i="1" s="1"/>
  <c r="I524" i="1" s="1"/>
  <c r="I545" i="1" s="1"/>
  <c r="G198" i="1"/>
  <c r="C18" i="12" s="1"/>
  <c r="F198" i="1"/>
  <c r="F521" i="1" s="1"/>
  <c r="K198" i="1"/>
  <c r="K521" i="1" s="1"/>
  <c r="J198" i="1"/>
  <c r="J521" i="1" s="1"/>
  <c r="J524" i="1"/>
  <c r="J197" i="1"/>
  <c r="I197" i="1"/>
  <c r="H197" i="1"/>
  <c r="G197" i="1"/>
  <c r="F197" i="1"/>
  <c r="H152" i="1"/>
  <c r="H155" i="1"/>
  <c r="E88" i="2" s="1"/>
  <c r="H154" i="1"/>
  <c r="H360" i="1"/>
  <c r="L360" i="1"/>
  <c r="H358" i="1"/>
  <c r="H359" i="1"/>
  <c r="F110" i="1"/>
  <c r="F111" i="1"/>
  <c r="F63" i="1"/>
  <c r="F79" i="1"/>
  <c r="C57" i="2" s="1"/>
  <c r="C45" i="2"/>
  <c r="G51" i="1"/>
  <c r="F51" i="1"/>
  <c r="G622" i="1" s="1"/>
  <c r="C37" i="10"/>
  <c r="F40" i="2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D39" i="13"/>
  <c r="L224" i="1"/>
  <c r="L242" i="1"/>
  <c r="F16" i="13"/>
  <c r="G16" i="13"/>
  <c r="E16" i="13" s="1"/>
  <c r="C16" i="13" s="1"/>
  <c r="L209" i="1"/>
  <c r="L227" i="1"/>
  <c r="L245" i="1"/>
  <c r="L199" i="1"/>
  <c r="C12" i="10" s="1"/>
  <c r="L235" i="1"/>
  <c r="G14" i="13"/>
  <c r="F15" i="13"/>
  <c r="G15" i="13"/>
  <c r="F17" i="13"/>
  <c r="G17" i="13"/>
  <c r="F18" i="13"/>
  <c r="G18" i="13"/>
  <c r="L252" i="1"/>
  <c r="F19" i="13"/>
  <c r="G19" i="13"/>
  <c r="L253" i="1"/>
  <c r="F29" i="13"/>
  <c r="G29" i="13"/>
  <c r="L358" i="1"/>
  <c r="I367" i="1"/>
  <c r="J290" i="1"/>
  <c r="F31" i="13" s="1"/>
  <c r="J309" i="1"/>
  <c r="J328" i="1"/>
  <c r="K309" i="1"/>
  <c r="K328" i="1"/>
  <c r="L278" i="1"/>
  <c r="L279" i="1"/>
  <c r="L281" i="1"/>
  <c r="L283" i="1"/>
  <c r="E120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341" i="1"/>
  <c r="E131" i="2" s="1"/>
  <c r="L342" i="1"/>
  <c r="L255" i="1"/>
  <c r="C130" i="2" s="1"/>
  <c r="L336" i="1"/>
  <c r="C11" i="13"/>
  <c r="C10" i="13"/>
  <c r="C9" i="13"/>
  <c r="L361" i="1"/>
  <c r="B4" i="12"/>
  <c r="B40" i="12"/>
  <c r="C40" i="12"/>
  <c r="C27" i="12"/>
  <c r="B31" i="12"/>
  <c r="C31" i="12"/>
  <c r="B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3" i="1"/>
  <c r="L404" i="1"/>
  <c r="L405" i="1"/>
  <c r="L406" i="1"/>
  <c r="J60" i="1"/>
  <c r="G56" i="2"/>
  <c r="G59" i="2"/>
  <c r="G61" i="2"/>
  <c r="G62" i="2" s="1"/>
  <c r="G63" i="2" s="1"/>
  <c r="F2" i="11"/>
  <c r="L613" i="1"/>
  <c r="C40" i="10"/>
  <c r="F60" i="1"/>
  <c r="F112" i="1" s="1"/>
  <c r="G60" i="1"/>
  <c r="H60" i="1"/>
  <c r="I60" i="1"/>
  <c r="I112" i="1"/>
  <c r="F94" i="1"/>
  <c r="C58" i="2" s="1"/>
  <c r="G111" i="1"/>
  <c r="G112" i="1" s="1"/>
  <c r="H79" i="1"/>
  <c r="H94" i="1"/>
  <c r="H111" i="1"/>
  <c r="I111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36" i="1"/>
  <c r="I549" i="1"/>
  <c r="L537" i="1"/>
  <c r="I550" i="1"/>
  <c r="L538" i="1"/>
  <c r="I551" i="1" s="1"/>
  <c r="L541" i="1"/>
  <c r="J549" i="1"/>
  <c r="L542" i="1"/>
  <c r="J550" i="1"/>
  <c r="L543" i="1"/>
  <c r="J551" i="1"/>
  <c r="J552" i="1" s="1"/>
  <c r="E132" i="2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C9" i="2"/>
  <c r="D9" i="2"/>
  <c r="E9" i="2"/>
  <c r="F9" i="2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E18" i="2" s="1"/>
  <c r="F13" i="2"/>
  <c r="F14" i="2"/>
  <c r="C15" i="2"/>
  <c r="D15" i="2"/>
  <c r="D18" i="2" s="1"/>
  <c r="E15" i="2"/>
  <c r="F15" i="2"/>
  <c r="C16" i="2"/>
  <c r="D16" i="2"/>
  <c r="E16" i="2"/>
  <c r="F16" i="2"/>
  <c r="I444" i="1"/>
  <c r="J17" i="1"/>
  <c r="G16" i="2" s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D31" i="2" s="1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/>
  <c r="G42" i="2"/>
  <c r="I457" i="1"/>
  <c r="J37" i="1"/>
  <c r="C49" i="2"/>
  <c r="C56" i="2"/>
  <c r="C63" i="2" s="1"/>
  <c r="D56" i="2"/>
  <c r="E56" i="2"/>
  <c r="E57" i="2"/>
  <c r="E58" i="2"/>
  <c r="E62" i="2" s="1"/>
  <c r="E63" i="2" s="1"/>
  <c r="E104" i="2" s="1"/>
  <c r="C59" i="2"/>
  <c r="D59" i="2"/>
  <c r="E59" i="2"/>
  <c r="F59" i="2"/>
  <c r="F62" i="2" s="1"/>
  <c r="D60" i="2"/>
  <c r="C61" i="2"/>
  <c r="D61" i="2"/>
  <c r="E61" i="2"/>
  <c r="F61" i="2"/>
  <c r="C66" i="2"/>
  <c r="C67" i="2"/>
  <c r="C69" i="2"/>
  <c r="D69" i="2"/>
  <c r="D70" i="2"/>
  <c r="E69" i="2"/>
  <c r="E70" i="2" s="1"/>
  <c r="F69" i="2"/>
  <c r="F70" i="2"/>
  <c r="G69" i="2"/>
  <c r="G70" i="2" s="1"/>
  <c r="G81" i="2" s="1"/>
  <c r="C72" i="2"/>
  <c r="F72" i="2"/>
  <c r="C73" i="2"/>
  <c r="F73" i="2"/>
  <c r="C74" i="2"/>
  <c r="C75" i="2"/>
  <c r="C76" i="2"/>
  <c r="E76" i="2"/>
  <c r="F76" i="2"/>
  <c r="C77" i="2"/>
  <c r="C78" i="2" s="1"/>
  <c r="C81" i="2" s="1"/>
  <c r="D77" i="2"/>
  <c r="D78" i="2"/>
  <c r="E77" i="2"/>
  <c r="E78" i="2" s="1"/>
  <c r="F77" i="2"/>
  <c r="F78" i="2" s="1"/>
  <c r="F81" i="2" s="1"/>
  <c r="G77" i="2"/>
  <c r="G78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E114" i="2"/>
  <c r="D115" i="2"/>
  <c r="F115" i="2"/>
  <c r="G115" i="2"/>
  <c r="E118" i="2"/>
  <c r="E122" i="2"/>
  <c r="E123" i="2"/>
  <c r="E124" i="2"/>
  <c r="C125" i="2"/>
  <c r="F128" i="2"/>
  <c r="G128" i="2"/>
  <c r="E130" i="2"/>
  <c r="D134" i="2"/>
  <c r="D144" i="2" s="1"/>
  <c r="E134" i="2"/>
  <c r="F134" i="2"/>
  <c r="K419" i="1"/>
  <c r="K434" i="1" s="1"/>
  <c r="K427" i="1"/>
  <c r="K433" i="1"/>
  <c r="L263" i="1"/>
  <c r="C135" i="2"/>
  <c r="E135" i="2"/>
  <c r="L264" i="1"/>
  <c r="C136" i="2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C160" i="2"/>
  <c r="D160" i="2"/>
  <c r="E160" i="2"/>
  <c r="F160" i="2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19" i="1"/>
  <c r="H19" i="1"/>
  <c r="I19" i="1"/>
  <c r="F32" i="1"/>
  <c r="G32" i="1"/>
  <c r="G52" i="1" s="1"/>
  <c r="H618" i="1" s="1"/>
  <c r="H32" i="1"/>
  <c r="H52" i="1"/>
  <c r="H619" i="1" s="1"/>
  <c r="I32" i="1"/>
  <c r="H51" i="1"/>
  <c r="I51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K247" i="1"/>
  <c r="F256" i="1"/>
  <c r="G256" i="1"/>
  <c r="H256" i="1"/>
  <c r="I256" i="1"/>
  <c r="J256" i="1"/>
  <c r="K256" i="1"/>
  <c r="H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L337" i="1" s="1"/>
  <c r="J337" i="1"/>
  <c r="K337" i="1"/>
  <c r="F362" i="1"/>
  <c r="G362" i="1"/>
  <c r="I362" i="1"/>
  <c r="G634" i="1"/>
  <c r="J362" i="1"/>
  <c r="K362" i="1"/>
  <c r="I368" i="1"/>
  <c r="F369" i="1"/>
  <c r="G369" i="1"/>
  <c r="H369" i="1"/>
  <c r="I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I408" i="1" s="1"/>
  <c r="F401" i="1"/>
  <c r="F408" i="1" s="1"/>
  <c r="H643" i="1" s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H434" i="1" s="1"/>
  <c r="I419" i="1"/>
  <c r="J419" i="1"/>
  <c r="L421" i="1"/>
  <c r="L422" i="1"/>
  <c r="L427" i="1" s="1"/>
  <c r="L423" i="1"/>
  <c r="L424" i="1"/>
  <c r="L425" i="1"/>
  <c r="L426" i="1"/>
  <c r="F427" i="1"/>
  <c r="G427" i="1"/>
  <c r="G434" i="1"/>
  <c r="H427" i="1"/>
  <c r="I427" i="1"/>
  <c r="J427" i="1"/>
  <c r="J434" i="1" s="1"/>
  <c r="L429" i="1"/>
  <c r="L430" i="1"/>
  <c r="L431" i="1"/>
  <c r="L432" i="1"/>
  <c r="L433" i="1" s="1"/>
  <c r="F433" i="1"/>
  <c r="G433" i="1"/>
  <c r="H433" i="1"/>
  <c r="I433" i="1"/>
  <c r="I434" i="1" s="1"/>
  <c r="J433" i="1"/>
  <c r="F446" i="1"/>
  <c r="G639" i="1"/>
  <c r="H446" i="1"/>
  <c r="F452" i="1"/>
  <c r="G452" i="1"/>
  <c r="H452" i="1"/>
  <c r="H461" i="1" s="1"/>
  <c r="F460" i="1"/>
  <c r="H460" i="1"/>
  <c r="F461" i="1"/>
  <c r="H639" i="1" s="1"/>
  <c r="J639" i="1" s="1"/>
  <c r="F470" i="1"/>
  <c r="G470" i="1"/>
  <c r="H470" i="1"/>
  <c r="I470" i="1"/>
  <c r="F474" i="1"/>
  <c r="G474" i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9" i="1"/>
  <c r="G529" i="1"/>
  <c r="I529" i="1"/>
  <c r="J529" i="1"/>
  <c r="K529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8" i="1"/>
  <c r="L559" i="1"/>
  <c r="F560" i="1"/>
  <c r="F571" i="1" s="1"/>
  <c r="H560" i="1"/>
  <c r="I560" i="1"/>
  <c r="J560" i="1"/>
  <c r="J571" i="1" s="1"/>
  <c r="K560" i="1"/>
  <c r="K571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3" i="1"/>
  <c r="K594" i="1"/>
  <c r="K596" i="1"/>
  <c r="K597" i="1"/>
  <c r="H598" i="1"/>
  <c r="H649" i="1"/>
  <c r="K602" i="1"/>
  <c r="K603" i="1"/>
  <c r="H614" i="1"/>
  <c r="I614" i="1"/>
  <c r="J614" i="1"/>
  <c r="K614" i="1"/>
  <c r="G617" i="1"/>
  <c r="G618" i="1"/>
  <c r="G619" i="1"/>
  <c r="J619" i="1" s="1"/>
  <c r="G620" i="1"/>
  <c r="G623" i="1"/>
  <c r="J623" i="1" s="1"/>
  <c r="G624" i="1"/>
  <c r="H627" i="1"/>
  <c r="H628" i="1"/>
  <c r="H629" i="1"/>
  <c r="H630" i="1"/>
  <c r="H632" i="1"/>
  <c r="H633" i="1"/>
  <c r="H634" i="1"/>
  <c r="J634" i="1" s="1"/>
  <c r="H635" i="1"/>
  <c r="H636" i="1"/>
  <c r="G641" i="1"/>
  <c r="H641" i="1"/>
  <c r="G643" i="1"/>
  <c r="J643" i="1"/>
  <c r="G644" i="1"/>
  <c r="G652" i="1"/>
  <c r="J652" i="1" s="1"/>
  <c r="H652" i="1"/>
  <c r="G653" i="1"/>
  <c r="H653" i="1"/>
  <c r="G654" i="1"/>
  <c r="J654" i="1" s="1"/>
  <c r="H654" i="1"/>
  <c r="H655" i="1"/>
  <c r="F192" i="1"/>
  <c r="L256" i="1"/>
  <c r="C26" i="10"/>
  <c r="L351" i="1"/>
  <c r="D62" i="2"/>
  <c r="D63" i="2" s="1"/>
  <c r="D104" i="2" s="1"/>
  <c r="D50" i="2"/>
  <c r="D91" i="2"/>
  <c r="E31" i="2"/>
  <c r="E51" i="2" s="1"/>
  <c r="H112" i="1"/>
  <c r="L419" i="1"/>
  <c r="I169" i="1"/>
  <c r="F169" i="1"/>
  <c r="J140" i="1"/>
  <c r="J193" i="1" s="1"/>
  <c r="C29" i="10"/>
  <c r="H140" i="1"/>
  <c r="L393" i="1"/>
  <c r="C138" i="2"/>
  <c r="F22" i="13"/>
  <c r="C22" i="13" s="1"/>
  <c r="G192" i="1"/>
  <c r="H192" i="1"/>
  <c r="C35" i="10"/>
  <c r="L570" i="1"/>
  <c r="I571" i="1"/>
  <c r="L565" i="1"/>
  <c r="C23" i="10"/>
  <c r="E50" i="2"/>
  <c r="L407" i="1"/>
  <c r="C140" i="2" s="1"/>
  <c r="J653" i="1"/>
  <c r="F434" i="1"/>
  <c r="G134" i="2"/>
  <c r="G144" i="2"/>
  <c r="G145" i="2"/>
  <c r="G169" i="1"/>
  <c r="G140" i="1"/>
  <c r="I140" i="1"/>
  <c r="D51" i="2"/>
  <c r="F140" i="1"/>
  <c r="I440" i="1"/>
  <c r="J10" i="1"/>
  <c r="J14" i="1"/>
  <c r="G13" i="2" s="1"/>
  <c r="J598" i="1"/>
  <c r="H651" i="1" s="1"/>
  <c r="J651" i="1" s="1"/>
  <c r="L533" i="1"/>
  <c r="H551" i="1" s="1"/>
  <c r="L532" i="1"/>
  <c r="H550" i="1"/>
  <c r="G534" i="1"/>
  <c r="G21" i="2"/>
  <c r="G8" i="2"/>
  <c r="G18" i="2" s="1"/>
  <c r="G36" i="2"/>
  <c r="L359" i="1"/>
  <c r="H362" i="1"/>
  <c r="H338" i="1"/>
  <c r="H352" i="1" s="1"/>
  <c r="J338" i="1"/>
  <c r="J352" i="1"/>
  <c r="K524" i="1"/>
  <c r="K545" i="1" s="1"/>
  <c r="G560" i="1"/>
  <c r="G571" i="1" s="1"/>
  <c r="F476" i="1"/>
  <c r="H622" i="1"/>
  <c r="J229" i="1"/>
  <c r="I604" i="1"/>
  <c r="I605" i="1" s="1"/>
  <c r="G158" i="2"/>
  <c r="D103" i="2"/>
  <c r="C103" i="2"/>
  <c r="G157" i="2"/>
  <c r="C70" i="2"/>
  <c r="F31" i="2"/>
  <c r="D18" i="13"/>
  <c r="C18" i="13" s="1"/>
  <c r="G160" i="2"/>
  <c r="L560" i="1"/>
  <c r="L571" i="1" s="1"/>
  <c r="G159" i="2"/>
  <c r="G476" i="1"/>
  <c r="H623" i="1"/>
  <c r="C18" i="2"/>
  <c r="L284" i="1"/>
  <c r="E121" i="2" s="1"/>
  <c r="L240" i="1"/>
  <c r="L239" i="1"/>
  <c r="G247" i="1"/>
  <c r="G257" i="1" s="1"/>
  <c r="G271" i="1" s="1"/>
  <c r="G6" i="13"/>
  <c r="J247" i="1"/>
  <c r="J604" i="1"/>
  <c r="J605" i="1" s="1"/>
  <c r="L236" i="1"/>
  <c r="I247" i="1"/>
  <c r="K338" i="1"/>
  <c r="K352" i="1"/>
  <c r="G31" i="13"/>
  <c r="L277" i="1"/>
  <c r="E110" i="2"/>
  <c r="K270" i="1"/>
  <c r="L270" i="1" s="1"/>
  <c r="C32" i="10"/>
  <c r="C131" i="2"/>
  <c r="G662" i="1"/>
  <c r="I662" i="1" s="1"/>
  <c r="F7" i="13"/>
  <c r="G5" i="13"/>
  <c r="C36" i="12"/>
  <c r="G229" i="1"/>
  <c r="H229" i="1"/>
  <c r="F5" i="13"/>
  <c r="C25" i="10"/>
  <c r="H25" i="13"/>
  <c r="H33" i="13" s="1"/>
  <c r="C132" i="2"/>
  <c r="L206" i="1"/>
  <c r="C19" i="10"/>
  <c r="I211" i="1"/>
  <c r="L204" i="1"/>
  <c r="C120" i="2" s="1"/>
  <c r="C122" i="2"/>
  <c r="L203" i="1"/>
  <c r="K211" i="1"/>
  <c r="K257" i="1" s="1"/>
  <c r="K271" i="1" s="1"/>
  <c r="L202" i="1"/>
  <c r="C15" i="10" s="1"/>
  <c r="F211" i="1"/>
  <c r="L200" i="1"/>
  <c r="L198" i="1"/>
  <c r="L197" i="1"/>
  <c r="G211" i="1"/>
  <c r="L534" i="1"/>
  <c r="F661" i="1"/>
  <c r="G661" i="1"/>
  <c r="I661" i="1" s="1"/>
  <c r="D127" i="2"/>
  <c r="D128" i="2" s="1"/>
  <c r="D145" i="2" s="1"/>
  <c r="D29" i="13"/>
  <c r="C29" i="13"/>
  <c r="L362" i="1"/>
  <c r="C27" i="10"/>
  <c r="H661" i="1"/>
  <c r="E13" i="13"/>
  <c r="C13" i="13" s="1"/>
  <c r="G635" i="1"/>
  <c r="J635" i="1" s="1"/>
  <c r="G645" i="1"/>
  <c r="J645" i="1"/>
  <c r="C36" i="10"/>
  <c r="C24" i="10"/>
  <c r="D17" i="13"/>
  <c r="C17" i="13" s="1"/>
  <c r="C114" i="2"/>
  <c r="I476" i="1"/>
  <c r="H625" i="1"/>
  <c r="G9" i="2"/>
  <c r="I446" i="1"/>
  <c r="G642" i="1" s="1"/>
  <c r="C13" i="12"/>
  <c r="B13" i="12"/>
  <c r="H662" i="1"/>
  <c r="G651" i="1"/>
  <c r="L216" i="1"/>
  <c r="F662" i="1"/>
  <c r="G649" i="1"/>
  <c r="J649" i="1" s="1"/>
  <c r="H193" i="1"/>
  <c r="G629" i="1"/>
  <c r="J629" i="1"/>
  <c r="J618" i="1"/>
  <c r="D81" i="2"/>
  <c r="G22" i="2"/>
  <c r="H663" i="1"/>
  <c r="H552" i="1"/>
  <c r="C62" i="2"/>
  <c r="H529" i="1"/>
  <c r="L526" i="1"/>
  <c r="G549" i="1"/>
  <c r="G460" i="1"/>
  <c r="G461" i="1"/>
  <c r="H640" i="1"/>
  <c r="I459" i="1"/>
  <c r="C124" i="2"/>
  <c r="G162" i="2"/>
  <c r="G156" i="2"/>
  <c r="E103" i="2"/>
  <c r="F56" i="2"/>
  <c r="F63" i="2"/>
  <c r="B27" i="12"/>
  <c r="A31" i="12" s="1"/>
  <c r="L282" i="1"/>
  <c r="D19" i="13"/>
  <c r="C19" i="13"/>
  <c r="G446" i="1"/>
  <c r="G640" i="1"/>
  <c r="J640" i="1" s="1"/>
  <c r="F91" i="2"/>
  <c r="E91" i="2"/>
  <c r="E81" i="2"/>
  <c r="F18" i="2"/>
  <c r="G163" i="2"/>
  <c r="K551" i="1"/>
  <c r="E119" i="2"/>
  <c r="J48" i="1"/>
  <c r="I460" i="1"/>
  <c r="G47" i="2"/>
  <c r="G50" i="2"/>
  <c r="J51" i="1"/>
  <c r="G626" i="1"/>
  <c r="F52" i="1" l="1"/>
  <c r="H617" i="1" s="1"/>
  <c r="J622" i="1"/>
  <c r="J617" i="1"/>
  <c r="C50" i="2"/>
  <c r="L521" i="1"/>
  <c r="L614" i="1"/>
  <c r="L408" i="1"/>
  <c r="C139" i="2"/>
  <c r="C141" i="2" s="1"/>
  <c r="D12" i="13"/>
  <c r="C12" i="13" s="1"/>
  <c r="C18" i="10"/>
  <c r="C121" i="2"/>
  <c r="C119" i="2"/>
  <c r="C16" i="10"/>
  <c r="D7" i="13"/>
  <c r="C7" i="13" s="1"/>
  <c r="F104" i="2"/>
  <c r="J642" i="1"/>
  <c r="C13" i="10"/>
  <c r="G631" i="1"/>
  <c r="G646" i="1"/>
  <c r="I52" i="1"/>
  <c r="H620" i="1" s="1"/>
  <c r="G625" i="1"/>
  <c r="J625" i="1" s="1"/>
  <c r="C118" i="2"/>
  <c r="F524" i="1"/>
  <c r="F545" i="1" s="1"/>
  <c r="L234" i="1"/>
  <c r="B36" i="12"/>
  <c r="A40" i="12" s="1"/>
  <c r="G8" i="13"/>
  <c r="G33" i="13" s="1"/>
  <c r="L215" i="1"/>
  <c r="L434" i="1"/>
  <c r="J641" i="1"/>
  <c r="J31" i="1"/>
  <c r="I452" i="1"/>
  <c r="I461" i="1" s="1"/>
  <c r="H642" i="1" s="1"/>
  <c r="C31" i="2"/>
  <c r="C51" i="2" s="1"/>
  <c r="G193" i="1"/>
  <c r="G628" i="1" s="1"/>
  <c r="J628" i="1" s="1"/>
  <c r="F193" i="1"/>
  <c r="G627" i="1" s="1"/>
  <c r="J627" i="1" s="1"/>
  <c r="F50" i="2"/>
  <c r="F51" i="2" s="1"/>
  <c r="J545" i="1"/>
  <c r="D15" i="13"/>
  <c r="C15" i="13" s="1"/>
  <c r="L529" i="1"/>
  <c r="H647" i="1"/>
  <c r="E8" i="13"/>
  <c r="C25" i="13"/>
  <c r="C112" i="2"/>
  <c r="J211" i="1"/>
  <c r="L218" i="1"/>
  <c r="B161" i="2"/>
  <c r="G161" i="2" s="1"/>
  <c r="C39" i="10"/>
  <c r="L539" i="1"/>
  <c r="H476" i="1"/>
  <c r="H624" i="1" s="1"/>
  <c r="J624" i="1" s="1"/>
  <c r="I192" i="1"/>
  <c r="I193" i="1" s="1"/>
  <c r="G630" i="1" s="1"/>
  <c r="J630" i="1" s="1"/>
  <c r="G103" i="2"/>
  <c r="G104" i="2" s="1"/>
  <c r="I338" i="1"/>
  <c r="I352" i="1" s="1"/>
  <c r="L276" i="1"/>
  <c r="F290" i="1"/>
  <c r="F338" i="1" s="1"/>
  <c r="F352" i="1" s="1"/>
  <c r="I598" i="1"/>
  <c r="H650" i="1" s="1"/>
  <c r="J650" i="1" s="1"/>
  <c r="K592" i="1"/>
  <c r="K598" i="1" s="1"/>
  <c r="G647" i="1" s="1"/>
  <c r="J647" i="1" s="1"/>
  <c r="H408" i="1"/>
  <c r="H644" i="1" s="1"/>
  <c r="J644" i="1" s="1"/>
  <c r="C111" i="2"/>
  <c r="H211" i="1"/>
  <c r="H257" i="1" s="1"/>
  <c r="H271" i="1" s="1"/>
  <c r="J19" i="1"/>
  <c r="G621" i="1" s="1"/>
  <c r="C21" i="10"/>
  <c r="L207" i="1"/>
  <c r="F247" i="1"/>
  <c r="F257" i="1" s="1"/>
  <c r="F271" i="1" s="1"/>
  <c r="K503" i="1"/>
  <c r="C38" i="10"/>
  <c r="C41" i="10" s="1"/>
  <c r="J620" i="1"/>
  <c r="H571" i="1"/>
  <c r="E144" i="2"/>
  <c r="I552" i="1"/>
  <c r="F130" i="2"/>
  <c r="F144" i="2" s="1"/>
  <c r="F145" i="2" s="1"/>
  <c r="C91" i="2"/>
  <c r="C104" i="2" s="1"/>
  <c r="L328" i="1"/>
  <c r="L309" i="1"/>
  <c r="E112" i="2"/>
  <c r="E125" i="2"/>
  <c r="E128" i="2" s="1"/>
  <c r="G612" i="1"/>
  <c r="G614" i="1" s="1"/>
  <c r="L612" i="1"/>
  <c r="G663" i="1" s="1"/>
  <c r="F614" i="1"/>
  <c r="G521" i="1"/>
  <c r="G524" i="1" s="1"/>
  <c r="G545" i="1" s="1"/>
  <c r="B9" i="12"/>
  <c r="B18" i="12"/>
  <c r="A22" i="12" s="1"/>
  <c r="C9" i="12"/>
  <c r="D40" i="10" l="1"/>
  <c r="D35" i="10"/>
  <c r="D37" i="10"/>
  <c r="D36" i="10"/>
  <c r="C8" i="13"/>
  <c r="E33" i="13"/>
  <c r="D35" i="13" s="1"/>
  <c r="C20" i="10"/>
  <c r="C123" i="2"/>
  <c r="C128" i="2" s="1"/>
  <c r="D14" i="13"/>
  <c r="C14" i="13" s="1"/>
  <c r="D39" i="10"/>
  <c r="C144" i="2"/>
  <c r="J646" i="1"/>
  <c r="A13" i="12"/>
  <c r="J472" i="1"/>
  <c r="G638" i="1"/>
  <c r="C11" i="10"/>
  <c r="L247" i="1"/>
  <c r="H660" i="1" s="1"/>
  <c r="H664" i="1" s="1"/>
  <c r="J257" i="1"/>
  <c r="H604" i="1"/>
  <c r="G30" i="2"/>
  <c r="G31" i="2" s="1"/>
  <c r="G51" i="2" s="1"/>
  <c r="J32" i="1"/>
  <c r="J52" i="1" s="1"/>
  <c r="H621" i="1" s="1"/>
  <c r="J621" i="1" s="1"/>
  <c r="D38" i="10"/>
  <c r="E109" i="2"/>
  <c r="E115" i="2" s="1"/>
  <c r="E145" i="2" s="1"/>
  <c r="L290" i="1"/>
  <c r="L211" i="1"/>
  <c r="C10" i="10"/>
  <c r="L229" i="1"/>
  <c r="G660" i="1" s="1"/>
  <c r="G664" i="1" s="1"/>
  <c r="C109" i="2"/>
  <c r="C110" i="2"/>
  <c r="D5" i="13"/>
  <c r="H646" i="1"/>
  <c r="G637" i="1"/>
  <c r="J468" i="1"/>
  <c r="F549" i="1"/>
  <c r="L524" i="1"/>
  <c r="L545" i="1" s="1"/>
  <c r="F660" i="1" l="1"/>
  <c r="L257" i="1"/>
  <c r="L271" i="1" s="1"/>
  <c r="G632" i="1" s="1"/>
  <c r="F663" i="1"/>
  <c r="I663" i="1" s="1"/>
  <c r="K604" i="1"/>
  <c r="K605" i="1" s="1"/>
  <c r="G648" i="1" s="1"/>
  <c r="H605" i="1"/>
  <c r="C115" i="2"/>
  <c r="C145" i="2" s="1"/>
  <c r="L338" i="1"/>
  <c r="L352" i="1" s="1"/>
  <c r="G633" i="1" s="1"/>
  <c r="J633" i="1" s="1"/>
  <c r="D31" i="13"/>
  <c r="C31" i="13" s="1"/>
  <c r="J271" i="1"/>
  <c r="H648" i="1"/>
  <c r="D20" i="10"/>
  <c r="G672" i="1"/>
  <c r="C5" i="10" s="1"/>
  <c r="G667" i="1"/>
  <c r="H638" i="1"/>
  <c r="J638" i="1" s="1"/>
  <c r="J474" i="1"/>
  <c r="H637" i="1"/>
  <c r="J637" i="1" s="1"/>
  <c r="J470" i="1"/>
  <c r="H631" i="1"/>
  <c r="J631" i="1" s="1"/>
  <c r="D11" i="10"/>
  <c r="F552" i="1"/>
  <c r="K549" i="1"/>
  <c r="K552" i="1" s="1"/>
  <c r="C5" i="13"/>
  <c r="C28" i="10"/>
  <c r="D10" i="10"/>
  <c r="H672" i="1"/>
  <c r="C6" i="10" s="1"/>
  <c r="H667" i="1"/>
  <c r="D41" i="10"/>
  <c r="D33" i="13" l="1"/>
  <c r="D36" i="13" s="1"/>
  <c r="J648" i="1"/>
  <c r="J476" i="1"/>
  <c r="H626" i="1" s="1"/>
  <c r="J626" i="1" s="1"/>
  <c r="D22" i="10"/>
  <c r="D27" i="10"/>
  <c r="D19" i="10"/>
  <c r="D24" i="10"/>
  <c r="D25" i="10"/>
  <c r="C30" i="10"/>
  <c r="D26" i="10"/>
  <c r="D23" i="10"/>
  <c r="D17" i="10"/>
  <c r="D15" i="10"/>
  <c r="D12" i="10"/>
  <c r="D28" i="10" s="1"/>
  <c r="D21" i="10"/>
  <c r="D16" i="10"/>
  <c r="D18" i="10"/>
  <c r="D13" i="10"/>
  <c r="J632" i="1"/>
  <c r="H656" i="1"/>
  <c r="I660" i="1"/>
  <c r="I664" i="1" s="1"/>
  <c r="F664" i="1"/>
  <c r="F672" i="1" l="1"/>
  <c r="C4" i="10" s="1"/>
  <c r="F667" i="1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<sst xmlns="http://schemas.openxmlformats.org/spreadsheetml/2006/main" count="3959" uniqueCount="917">
  <si>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</si>
  <si>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</si>
  <si>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</si>
  <si>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</si>
  <si>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</si>
  <si>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</si>
  <si>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</si>
  <si>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</si>
  <si>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</si>
  <si>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</si>
  <si>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</si>
  <si>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</si>
  <si>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</si>
  <si>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</si>
  <si>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</si>
  <si>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</si>
  <si>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</si>
  <si>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</si>
  <si>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</si>
  <si>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</si>
  <si>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</si>
  <si>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</si>
  <si>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</si>
  <si>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</si>
  <si>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</si>
  <si>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</si>
  <si>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</si>
  <si>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</si>
  <si>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</si>
  <si>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</si>
  <si>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</si>
  <si>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</si>
  <si>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</si>
  <si>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</si>
  <si>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</si>
  <si>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</si>
  <si>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</si>
  <si>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</si>
  <si>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</si>
  <si>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</si>
  <si>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</si>
  <si>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</si>
  <si>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</si>
  <si>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</si>
  <si>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</si>
  <si>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</si>
  <si>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</si>
  <si>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</si>
  <si>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</si>
  <si>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</si>
  <si>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</si>
  <si>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</si>
  <si>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</si>
  <si>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</si>
  <si>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</si>
  <si>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</si>
  <si>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</si>
  <si>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</si>
  <si>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</si>
  <si>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</si>
  <si>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</si>
  <si>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</si>
  <si>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</si>
  <si>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</si>
  <si>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</si>
  <si>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</si>
  <si>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</si>
  <si>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</si>
  <si>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</si>
  <si>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</si>
  <si>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</si>
  <si>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</si>
  <si>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</si>
  <si>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</si>
  <si>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</si>
  <si>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</si>
  <si>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</si>
  <si>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</si>
  <si>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</si>
  <si>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</si>
  <si>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</si>
  <si>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</si>
  <si>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</si>
  <si>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</si>
  <si>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</si>
  <si>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</si>
  <si>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</si>
  <si>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</si>
  <si>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</si>
  <si>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</si>
  <si>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</si>
  <si>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</si>
  <si>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</si>
  <si>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</si>
  <si>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</si>
  <si>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</si>
  <si>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</si>
  <si>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</si>
  <si>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</si>
  <si>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</si>
  <si>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</si>
  <si>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</si>
  <si>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</si>
  <si>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</si>
  <si>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</si>
  <si>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</si>
  <si>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</si>
  <si>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</si>
  <si>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</si>
  <si>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</si>
  <si>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</si>
  <si>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</si>
  <si>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</si>
  <si>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</si>
  <si>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</si>
  <si>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</si>
  <si>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</si>
  <si>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</si>
  <si>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</si>
  <si>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</si>
  <si>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</si>
  <si>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</si>
  <si>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</si>
  <si>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</si>
  <si>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</si>
  <si>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</si>
  <si>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</si>
  <si>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</si>
  <si>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</si>
  <si>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</si>
  <si>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</si>
  <si>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</si>
  <si>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</si>
  <si>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</si>
  <si>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</si>
  <si>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</si>
  <si>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</si>
  <si>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</si>
  <si>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</si>
  <si>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</si>
  <si>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</si>
  <si>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</si>
  <si>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</si>
  <si>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</si>
  <si>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</si>
  <si>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</si>
  <si>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</si>
  <si>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</si>
  <si>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</si>
  <si>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</si>
  <si>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</si>
  <si>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</si>
  <si>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</si>
  <si>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</si>
  <si>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</si>
  <si>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</si>
  <si>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</si>
  <si>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</si>
  <si>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</si>
  <si>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</si>
  <si>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</si>
  <si>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</si>
  <si>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</si>
  <si>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</si>
  <si>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</si>
  <si>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</si>
  <si>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</si>
  <si>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</si>
  <si>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</si>
  <si>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</si>
  <si>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</si>
  <si>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</si>
  <si>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</si>
  <si>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</si>
  <si>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</si>
  <si>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</si>
  <si>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</si>
  <si>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</si>
  <si>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</si>
  <si>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</si>
  <si>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</si>
  <si>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</si>
  <si>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</si>
  <si>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</si>
  <si>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</si>
  <si>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</si>
  <si>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</si>
  <si>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</si>
  <si>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</si>
  <si>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</si>
  <si>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</si>
  <si>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</si>
  <si>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</si>
  <si>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</si>
  <si>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</si>
  <si>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</si>
  <si>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</si>
  <si>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</si>
  <si>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</si>
  <si>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</si>
  <si>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</si>
  <si>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</si>
  <si>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</si>
  <si>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</si>
  <si>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</si>
  <si>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</si>
  <si>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</si>
  <si>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</si>
  <si>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</si>
  <si>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</si>
  <si>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</si>
  <si>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</si>
  <si>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</si>
  <si>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</si>
  <si>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</si>
  <si>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</si>
  <si>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</si>
  <si>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</si>
  <si>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</si>
  <si>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</si>
  <si>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</si>
  <si>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</si>
  <si>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</si>
  <si>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</si>
  <si>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</si>
  <si>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</si>
  <si>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</si>
  <si>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</si>
  <si>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</si>
  <si>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</si>
  <si>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</si>
  <si>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</si>
  <si>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</si>
  <si>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</si>
  <si>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</si>
  <si>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</si>
  <si>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</si>
  <si>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</si>
  <si>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</si>
  <si>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</si>
  <si>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</si>
  <si>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</si>
  <si>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</si>
  <si>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</si>
  <si>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</si>
  <si>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</si>
  <si>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</si>
  <si>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</si>
  <si>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</si>
  <si>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</si>
  <si>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</si>
  <si>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</si>
  <si>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</si>
  <si>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</si>
  <si>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</si>
  <si>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</si>
  <si>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</si>
  <si>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</si>
  <si>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</si>
  <si>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</si>
  <si>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</si>
  <si>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</si>
  <si>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</si>
  <si>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</si>
  <si>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</si>
  <si>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</si>
  <si>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</si>
  <si>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</si>
  <si>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</si>
  <si>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</si>
  <si>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</si>
  <si>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</si>
  <si>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</si>
  <si>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</si>
  <si>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</si>
  <si>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</si>
  <si>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</si>
  <si>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</si>
  <si>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</si>
  <si>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</si>
  <si>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</si>
  <si>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</si>
  <si>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</si>
  <si>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</si>
  <si>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</si>
  <si>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</si>
  <si>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</si>
  <si>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</si>
  <si>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</si>
  <si>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</si>
  <si>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</si>
  <si>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</si>
  <si>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</si>
  <si>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</si>
  <si>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</si>
  <si>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</si>
  <si>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</si>
  <si>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</si>
  <si>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</si>
  <si>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</si>
  <si>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</si>
  <si>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</si>
  <si>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</si>
  <si>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</si>
  <si>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</si>
  <si>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</si>
  <si>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</si>
  <si>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</si>
  <si>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</si>
  <si>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</si>
  <si>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</si>
  <si>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</si>
  <si>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</si>
  <si>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</si>
  <si>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</si>
  <si>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</si>
  <si>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</si>
  <si>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</si>
  <si>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</si>
  <si>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</si>
  <si>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</si>
  <si>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</si>
  <si>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</si>
  <si>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</si>
  <si>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</si>
  <si>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</si>
  <si>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</si>
  <si>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</si>
  <si>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</si>
  <si>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</si>
  <si>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</si>
  <si>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</si>
  <si>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</si>
  <si>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</si>
  <si>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</si>
  <si>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</si>
  <si>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</si>
  <si>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</si>
  <si>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</si>
  <si>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</si>
  <si>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</si>
  <si>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</si>
  <si>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</si>
  <si>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</si>
  <si>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</si>
  <si>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</si>
  <si>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</si>
  <si>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</si>
  <si>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</si>
  <si>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</si>
  <si>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</si>
  <si>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</si>
  <si>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</si>
  <si>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</si>
  <si>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</si>
  <si>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</si>
  <si>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</si>
  <si>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</si>
  <si>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</si>
  <si>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</si>
  <si>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</si>
  <si>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</si>
  <si>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</si>
  <si>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</si>
  <si>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</si>
  <si>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</si>
  <si>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</si>
  <si>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</si>
  <si>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</si>
  <si>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</si>
  <si>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</si>
  <si>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</si>
  <si>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</si>
  <si>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</si>
  <si>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</si>
  <si>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</si>
  <si>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</si>
  <si>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</si>
  <si>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</si>
  <si>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</si>
  <si>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</si>
  <si>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</si>
  <si>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</si>
  <si>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</si>
  <si>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</si>
  <si>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</si>
  <si>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</si>
  <si>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</si>
  <si>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</si>
  <si>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</si>
  <si>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</si>
  <si>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</si>
  <si>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</si>
  <si>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</si>
  <si>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</si>
  <si>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</si>
  <si>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</si>
  <si>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</si>
  <si>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</si>
  <si>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</si>
  <si>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</si>
  <si>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</si>
  <si>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</si>
  <si>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</si>
  <si>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</si>
  <si>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</si>
  <si>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</si>
  <si>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</si>
  <si>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</si>
  <si>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</si>
  <si>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</si>
  <si>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</si>
  <si>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</si>
  <si>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</si>
  <si>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</si>
  <si>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</si>
  <si>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</si>
  <si>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</si>
  <si>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</si>
  <si>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</si>
  <si>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</si>
  <si>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</si>
  <si>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</si>
  <si>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</si>
  <si>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</si>
  <si>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</si>
  <si>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</si>
  <si>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</si>
  <si>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</si>
  <si>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</si>
  <si>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</si>
  <si>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</si>
  <si>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</si>
  <si>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</si>
  <si>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</si>
  <si>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</si>
  <si>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</si>
  <si>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</si>
  <si>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</si>
  <si>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</si>
  <si>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</si>
  <si>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</si>
  <si>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</si>
  <si>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</si>
  <si>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</si>
  <si>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</si>
  <si>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</si>
  <si>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</si>
  <si>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</si>
  <si>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</si>
  <si>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</si>
  <si>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</si>
  <si>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</si>
  <si>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</si>
  <si>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</si>
  <si>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</si>
  <si>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</si>
  <si>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</si>
  <si>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</si>
  <si>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</si>
  <si>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</si>
  <si>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</si>
  <si>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</si>
  <si>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</si>
  <si>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</si>
  <si>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</si>
  <si>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</si>
  <si>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</si>
  <si>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</si>
  <si>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</si>
  <si>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</si>
  <si>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</si>
  <si>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</si>
  <si>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</si>
  <si>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</si>
  <si>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</si>
  <si>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</si>
  <si>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</si>
  <si>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</si>
  <si>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</si>
  <si>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</si>
  <si>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</si>
  <si>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</si>
  <si>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</si>
  <si>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</si>
  <si>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</si>
  <si>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</si>
  <si>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</si>
  <si>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</si>
  <si>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</si>
  <si>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</si>
  <si>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</si>
  <si>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</si>
  <si>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</si>
  <si>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</si>
  <si>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</si>
  <si>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</si>
  <si>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</si>
  <si>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</si>
  <si>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</si>
  <si>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</si>
  <si>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</si>
  <si>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</si>
  <si>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</si>
  <si>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</si>
  <si>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</si>
  <si>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</si>
  <si>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</si>
  <si>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</si>
  <si>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</si>
  <si>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</si>
  <si>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</si>
  <si>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</si>
  <si>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</si>
  <si>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</si>
  <si>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</si>
  <si>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</si>
  <si>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</si>
  <si>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</si>
  <si>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</si>
  <si>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</si>
  <si>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</si>
  <si>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</si>
  <si>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</si>
  <si>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</si>
  <si>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</si>
  <si>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</si>
  <si>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</si>
  <si>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</si>
  <si>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</si>
  <si>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</si>
  <si>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</si>
  <si>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</si>
  <si>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</si>
  <si>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</si>
  <si>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</si>
  <si>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</si>
  <si>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</si>
  <si>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</si>
  <si>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</si>
  <si>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</si>
  <si>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</si>
  <si>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</si>
  <si>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</si>
  <si>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</si>
  <si>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</si>
  <si>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</si>
  <si>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</si>
  <si>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</si>
  <si>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</si>
  <si>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</si>
  <si>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</si>
  <si>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</si>
  <si>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</si>
  <si>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</si>
  <si>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</si>
  <si>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</si>
  <si>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</si>
  <si>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</si>
  <si>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</si>
  <si>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</si>
  <si>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</si>
  <si>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</si>
  <si>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</si>
  <si>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</si>
  <si>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</si>
  <si>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</si>
  <si>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</si>
  <si>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</si>
  <si>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</si>
  <si>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</si>
  <si>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</si>
  <si>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</si>
  <si>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</si>
  <si>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</si>
  <si>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</si>
  <si>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</si>
  <si>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</si>
  <si>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</si>
  <si>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</si>
  <si>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</si>
  <si>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</si>
  <si>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</si>
  <si>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</si>
  <si>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</si>
  <si>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</si>
  <si>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</si>
  <si>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</si>
  <si>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</si>
  <si>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</si>
  <si>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</si>
  <si>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</si>
  <si>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</si>
  <si>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</si>
  <si>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</si>
  <si>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</si>
  <si>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</si>
  <si>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</si>
  <si>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</si>
  <si>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</si>
  <si>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</si>
  <si>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</si>
  <si>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</si>
  <si>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</si>
  <si>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</si>
  <si>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</si>
  <si>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</si>
  <si>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</si>
  <si>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</si>
  <si>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</si>
  <si>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</si>
  <si>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</si>
  <si>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</si>
  <si>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</si>
  <si>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</si>
  <si>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</si>
  <si>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</si>
  <si>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</si>
  <si>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</si>
  <si>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</si>
  <si>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</si>
  <si>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</si>
  <si>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</si>
  <si>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</si>
  <si>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</si>
  <si>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</si>
  <si>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</si>
  <si>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</si>
  <si>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</si>
  <si>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</si>
  <si>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</si>
  <si>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</si>
  <si>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</si>
  <si>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</si>
  <si>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</si>
  <si>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</si>
  <si>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</si>
  <si>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</si>
  <si>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</si>
  <si>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</si>
  <si>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</si>
  <si>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</si>
  <si>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</si>
  <si>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</si>
  <si>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</si>
  <si>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</si>
  <si>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</si>
  <si>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</si>
  <si>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</si>
  <si>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</si>
  <si>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</si>
  <si>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</si>
  <si>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</si>
  <si>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</si>
  <si>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</si>
  <si>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</si>
  <si>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</si>
  <si>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</si>
  <si>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</si>
  <si>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</si>
  <si>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</si>
  <si>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</si>
  <si>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</si>
  <si>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</si>
  <si>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</si>
  <si>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</si>
  <si>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</si>
  <si>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</si>
  <si>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</si>
  <si>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</si>
  <si>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</si>
  <si>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</si>
  <si>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</si>
  <si>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</si>
  <si>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</si>
  <si>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</si>
  <si>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</si>
  <si>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</si>
  <si>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</si>
  <si>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</si>
  <si>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</si>
  <si>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</si>
  <si>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</si>
  <si>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</si>
  <si>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</si>
  <si>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</si>
  <si>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</si>
  <si>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</si>
  <si>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</si>
  <si>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</si>
  <si>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</si>
  <si>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</si>
  <si>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</si>
  <si>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</si>
  <si>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</si>
  <si>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</si>
  <si>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</si>
  <si>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</si>
  <si>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</si>
  <si>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</si>
  <si>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</si>
  <si>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</si>
  <si>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</si>
  <si>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</si>
  <si>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</si>
  <si>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</si>
  <si>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</si>
  <si>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</si>
  <si>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</si>
  <si>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</si>
  <si>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</si>
  <si>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</si>
  <si>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</si>
  <si>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</si>
  <si>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</si>
  <si>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</si>
  <si>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</si>
  <si>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</si>
  <si>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</si>
  <si>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</si>
  <si>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</si>
  <si>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</si>
  <si>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</si>
  <si>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</si>
  <si>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</si>
  <si>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</si>
  <si>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</si>
  <si>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</si>
  <si>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</si>
  <si>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</si>
  <si>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</si>
  <si>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</si>
  <si>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</si>
  <si>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</si>
  <si>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</si>
  <si>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</si>
  <si>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</si>
  <si>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</si>
  <si>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</si>
  <si>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</si>
  <si>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</si>
  <si>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</si>
  <si>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</si>
  <si>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</si>
  <si>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</si>
  <si>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</si>
  <si>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</si>
  <si>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</si>
  <si>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</si>
  <si>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</si>
  <si>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</si>
  <si>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</si>
  <si>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</si>
  <si>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</si>
  <si>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</si>
  <si>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</si>
  <si>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</si>
  <si>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</si>
  <si>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</si>
  <si>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</si>
  <si>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</si>
  <si>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</si>
  <si>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</si>
  <si>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</si>
  <si>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</si>
  <si>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</si>
  <si>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</si>
  <si>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</si>
  <si>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</si>
  <si>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</si>
  <si>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</si>
  <si>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</si>
  <si>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</si>
  <si>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</si>
  <si>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</si>
  <si>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</si>
  <si>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</si>
  <si>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</si>
  <si>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</si>
  <si>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</si>
  <si>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</si>
  <si>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</si>
  <si>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</si>
  <si>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</si>
  <si>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</si>
  <si>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</si>
  <si>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</si>
  <si>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</si>
  <si>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</si>
  <si>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</si>
  <si>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</si>
  <si>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</si>
  <si>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</si>
  <si>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</si>
  <si>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</si>
  <si>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</si>
  <si>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</si>
  <si>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</si>
  <si>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</si>
  <si>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</si>
  <si>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</si>
  <si>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</si>
  <si>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</si>
  <si>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</si>
  <si>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</si>
  <si>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</si>
  <si>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</si>
  <si>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</si>
  <si>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</si>
  <si>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</si>
  <si>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</si>
  <si>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</si>
  <si>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</si>
  <si>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</si>
  <si>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</si>
  <si>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</si>
  <si>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</si>
  <si>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</si>
  <si>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</si>
  <si>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</si>
  <si>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</si>
  <si>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</si>
  <si>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</si>
  <si>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</si>
  <si>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</si>
  <si>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</si>
  <si>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</si>
  <si>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</si>
  <si>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</si>
  <si>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</si>
  <si>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</si>
  <si>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</si>
  <si>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</si>
  <si>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</si>
  <si>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</si>
  <si>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</si>
  <si>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</si>
  <si>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</si>
  <si>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</si>
  <si>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</si>
  <si>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</si>
  <si>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</si>
  <si>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</si>
  <si>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</si>
  <si>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</si>
  <si>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</si>
  <si>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</si>
  <si>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</si>
  <si>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</si>
  <si>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</si>
  <si>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</si>
  <si>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</si>
  <si>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</si>
  <si>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</si>
  <si>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</si>
  <si>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</si>
  <si>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</si>
  <si>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</si>
  <si>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</si>
  <si>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</si>
  <si>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</si>
  <si>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</si>
  <si>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</si>
  <si>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</si>
  <si>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</si>
  <si>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</si>
  <si>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</si>
  <si>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</si>
  <si>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</si>
  <si>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</si>
  <si>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</si>
  <si>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</si>
  <si>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</si>
  <si>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</si>
  <si>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</si>
  <si>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</si>
  <si>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</si>
  <si>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</si>
  <si>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</si>
  <si>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</si>
  <si>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</si>
  <si>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</si>
  <si>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</si>
  <si>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</si>
  <si>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</si>
  <si>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</si>
  <si>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</si>
  <si>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</si>
  <si>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</si>
  <si>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</si>
  <si>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</si>
  <si>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</si>
  <si>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</si>
  <si>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</si>
  <si>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</si>
  <si>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</si>
  <si>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</si>
  <si>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</si>
  <si>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</si>
  <si>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</si>
  <si>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</si>
  <si>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</si>
  <si>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</si>
  <si>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</si>
  <si>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</si>
  <si>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</si>
  <si>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</si>
  <si>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</si>
  <si>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</si>
  <si>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</si>
  <si>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</si>
  <si>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4/2003</t>
  </si>
  <si>
    <t>1/2018</t>
  </si>
  <si>
    <t>Total settlement from LGC: $188,803.12</t>
  </si>
  <si>
    <t>Refund checks to staff/retirees = $36,840.76</t>
  </si>
  <si>
    <t>Net refund of $151,962.36 in Fund 70, Health Insurance Expendable Trust Fund</t>
  </si>
  <si>
    <t>Moultonborough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</si>
</sst>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69</v>
      </c>
      <c r="C2" s="21">
        <v>369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829548.07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1371589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16876.560000000001</v>
      </c>
      <c r="H13" s="18">
        <v>127460.24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34282.639999999999</v>
      </c>
      <c r="G14" s="18">
        <v>25771.31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863830.71</v>
      </c>
      <c r="G19" s="41">
        <f>SUM(G9:G18)</f>
        <v>42647.87</v>
      </c>
      <c r="H19" s="41">
        <f>SUM(H9:H18)</f>
        <v>127460.24</v>
      </c>
      <c r="I19" s="41">
        <f>SUM(I9:I18)</f>
        <v>0</v>
      </c>
      <c r="J19" s="41">
        <f>SUM(J9:J18)</f>
        <v>1371589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269929.33</v>
      </c>
      <c r="G22" s="18">
        <v>39407.410000000003</v>
      </c>
      <c r="H22" s="18">
        <v>115081.73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11017.48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12378.51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280946.81</v>
      </c>
      <c r="G32" s="41">
        <f>SUM(G22:G31)</f>
        <v>39407.410000000003</v>
      </c>
      <c r="H32" s="41">
        <f>SUM(H22:H31)</f>
        <v>127460.23999999999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3240.46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1371589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247573.08</v>
      </c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110310.82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582883.89999999991</v>
      </c>
      <c r="G51" s="41">
        <f>SUM(G35:G50)</f>
        <v>3240.46</v>
      </c>
      <c r="H51" s="41">
        <f>SUM(H35:H50)</f>
        <v>0</v>
      </c>
      <c r="I51" s="41">
        <f>SUM(I35:I50)</f>
        <v>0</v>
      </c>
      <c r="J51" s="41">
        <f>SUM(J35:J50)</f>
        <v>1371589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863830.71</v>
      </c>
      <c r="G52" s="41">
        <f>G51+G32</f>
        <v>42647.87</v>
      </c>
      <c r="H52" s="41">
        <f>H51+H32</f>
        <v>127460.23999999999</v>
      </c>
      <c r="I52" s="41">
        <f>I51+I32</f>
        <v>0</v>
      </c>
      <c r="J52" s="41">
        <f>J51+J32</f>
        <v>1371589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5726107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5726107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17416.44-4596.42</f>
        <v>12820.019999999999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4596.42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17416.439999999999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1179.0899999999999</v>
      </c>
      <c r="G96" s="18"/>
      <c r="H96" s="18"/>
      <c r="I96" s="18"/>
      <c r="J96" s="18">
        <f>690+89+416+12+12</f>
        <v>1219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147861.26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1296.06+1882.39</f>
        <v>3178.45</v>
      </c>
      <c r="G110" s="18"/>
      <c r="H110" s="18"/>
      <c r="I110" s="18"/>
      <c r="J110" s="18">
        <v>1579934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4357.54</v>
      </c>
      <c r="G111" s="41">
        <f>SUM(G96:G110)</f>
        <v>147861.26</v>
      </c>
      <c r="H111" s="41">
        <f>SUM(H96:H110)</f>
        <v>0</v>
      </c>
      <c r="I111" s="41">
        <f>SUM(I96:I110)</f>
        <v>0</v>
      </c>
      <c r="J111" s="41">
        <f>SUM(J96:J110)</f>
        <v>1581153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5747880.9800000004</v>
      </c>
      <c r="G112" s="41">
        <f>G60+G111</f>
        <v>147861.26</v>
      </c>
      <c r="H112" s="41">
        <f>H60+H79+H94+H111</f>
        <v>0</v>
      </c>
      <c r="I112" s="41">
        <f>I60+I111</f>
        <v>0</v>
      </c>
      <c r="J112" s="41">
        <f>J60+J111</f>
        <v>1581153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7112655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7112655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261382.54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60031.27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8683.2000000000007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2640.61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330097.01</v>
      </c>
      <c r="G136" s="41">
        <f>SUM(G123:G135)</f>
        <v>2640.61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7442752.0099999998</v>
      </c>
      <c r="G140" s="41">
        <f>G121+SUM(G136:G137)</f>
        <v>2640.61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f>2304+127352.15</f>
        <v>129656.15</v>
      </c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97312.09</f>
        <v>97312.09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12285.68+13159.76</f>
        <v>25445.440000000002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86980.13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198019.17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198019.17</v>
      </c>
      <c r="G162" s="41">
        <f>SUM(G150:G161)</f>
        <v>86980.13</v>
      </c>
      <c r="H162" s="41">
        <f>SUM(H150:H161)</f>
        <v>252413.68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198019.17</v>
      </c>
      <c r="G169" s="41">
        <f>G147+G162+SUM(G163:G168)</f>
        <v>86980.13</v>
      </c>
      <c r="H169" s="41">
        <f>H147+H162+SUM(H163:H168)</f>
        <v>252413.68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13388652.16</v>
      </c>
      <c r="G193" s="47">
        <f>G112+G140+G169+G192</f>
        <v>237482</v>
      </c>
      <c r="H193" s="47">
        <f>H112+H140+H169+H192</f>
        <v>252413.68</v>
      </c>
      <c r="I193" s="47">
        <f>I112+I140+I169+I192</f>
        <v>0</v>
      </c>
      <c r="J193" s="47">
        <f>J112+J140+J192</f>
        <v>1631153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1414961.68+159008.1+60513.54</f>
        <v>1634483.32</v>
      </c>
      <c r="G197" s="18">
        <f>318887.27+48449.99+118645.07+208537.52+16135.5+3367.48</f>
        <v>714022.83</v>
      </c>
      <c r="H197" s="18">
        <f>14157+350</f>
        <v>14507</v>
      </c>
      <c r="I197" s="18">
        <f>53129.18+17627.8+4492.37+858.35</f>
        <v>76107.7</v>
      </c>
      <c r="J197" s="18">
        <f>1698.63+3362.88</f>
        <v>5061.51</v>
      </c>
      <c r="K197" s="18"/>
      <c r="L197" s="19">
        <f>SUM(F197:K197)</f>
        <v>2444182.36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440348.66+249384.93+44032.04+38448.02</f>
        <v>772213.65</v>
      </c>
      <c r="G198" s="18">
        <f>142685.93+52828.7+84039.61+1433.02+848.43+2941.37+5444.14</f>
        <v>290221.2</v>
      </c>
      <c r="H198" s="18">
        <f>2959.21+51428.72+8830.85+314.38+204227.76+2574.8-8830.85</f>
        <v>261504.86999999997</v>
      </c>
      <c r="I198" s="18">
        <f>3304.41+12816.54+4408.08</f>
        <v>20529.03</v>
      </c>
      <c r="J198" s="18">
        <f>5359</f>
        <v>5359</v>
      </c>
      <c r="K198" s="18">
        <f>2079.6</f>
        <v>2079.6</v>
      </c>
      <c r="L198" s="19">
        <f>SUM(F198:K198)</f>
        <v>1351907.35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5771.04</v>
      </c>
      <c r="G199" s="18">
        <v>441.54</v>
      </c>
      <c r="H199" s="18"/>
      <c r="I199" s="18">
        <v>395.28</v>
      </c>
      <c r="J199" s="18"/>
      <c r="K199" s="18"/>
      <c r="L199" s="19">
        <f>SUM(F199:K199)</f>
        <v>6607.86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17451.02</f>
        <v>17451.02</v>
      </c>
      <c r="G200" s="18">
        <f>1335.02+1888.96</f>
        <v>3223.98</v>
      </c>
      <c r="H200" s="18">
        <f>3086.34</f>
        <v>3086.34</v>
      </c>
      <c r="I200" s="18">
        <f>545.3</f>
        <v>545.29999999999995</v>
      </c>
      <c r="J200" s="18"/>
      <c r="K200" s="18"/>
      <c r="L200" s="19">
        <f>SUM(F200:K200)</f>
        <v>24306.639999999999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66771.98+71775.08</f>
        <v>138547.06</v>
      </c>
      <c r="G202" s="18">
        <f>13774.75+4776.24+9479.84+135.21+15991.44+5262.17+10179.83+145.32</f>
        <v>59744.799999999996</v>
      </c>
      <c r="H202" s="18"/>
      <c r="I202" s="18">
        <f>124.94+2589.3+1160.72</f>
        <v>3874.96</v>
      </c>
      <c r="J202" s="18">
        <f>469.71</f>
        <v>469.71</v>
      </c>
      <c r="K202" s="18">
        <f>540</f>
        <v>540</v>
      </c>
      <c r="L202" s="19">
        <f t="shared" ref="L202:L208" si="0">SUM(F202:K202)</f>
        <v>203176.52999999997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22254.96+41180.1+19331.97+44377.17</f>
        <v>127144.2</v>
      </c>
      <c r="G203" s="18">
        <f>1964.63+3779.75+43936.61+3721.43+4629.45+7900.28+122.43+13774.75+3254.44+4813.45+92.62</f>
        <v>87989.839999999982</v>
      </c>
      <c r="H203" s="18">
        <f>6837.74+4702.13+8590.36+13226.09</f>
        <v>33356.32</v>
      </c>
      <c r="I203" s="18">
        <f>574.01+6339.23+7861.46+5735.96+12586.35</f>
        <v>33097.01</v>
      </c>
      <c r="J203" s="18">
        <f>2006.08+48785.67+0.03</f>
        <v>50791.78</v>
      </c>
      <c r="K203" s="18"/>
      <c r="L203" s="19">
        <f t="shared" si="0"/>
        <v>332379.15000000002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2515+57176.08+85724.08</f>
        <v>145415.16</v>
      </c>
      <c r="G204" s="18">
        <f>206.83+41.83+11760.61+10565.36+15404.89+2131.51+289.05</f>
        <v>40400.080000000009</v>
      </c>
      <c r="H204" s="18">
        <f>838.5+4250+1269.5+177.41+2100+931.33+475.93+440.67+1019.08+1838.49+494.99</f>
        <v>13835.9</v>
      </c>
      <c r="I204" s="18">
        <f>1169.43+620.12+51737.37</f>
        <v>53526.920000000006</v>
      </c>
      <c r="J204" s="18">
        <f>145.98</f>
        <v>145.97999999999999</v>
      </c>
      <c r="K204" s="18">
        <f>2042.77+4330.77+1428.29</f>
        <v>7801.8300000000008</v>
      </c>
      <c r="L204" s="19">
        <f t="shared" si="0"/>
        <v>261125.87000000002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90338.04+64097.6</f>
        <v>154435.63999999998</v>
      </c>
      <c r="G205" s="18">
        <f>36111.99+11661.85+19775.99+1615+307.15</f>
        <v>69471.98</v>
      </c>
      <c r="H205" s="18">
        <f>1687.99+1743.66+1906.14</f>
        <v>5337.79</v>
      </c>
      <c r="I205" s="18">
        <v>1833.41</v>
      </c>
      <c r="J205" s="18">
        <v>220</v>
      </c>
      <c r="K205" s="18"/>
      <c r="L205" s="19">
        <f t="shared" si="0"/>
        <v>231298.82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161288.75</v>
      </c>
      <c r="G207" s="18">
        <f>35794.7+11048.24+13127.82+1998.35</f>
        <v>61969.109999999993</v>
      </c>
      <c r="H207" s="18">
        <f>3822+18175+24008+19.95+8989.69+4592.15+100+51+75+397+3596.93+2335.78+2209.93+19975.2+15371.09+12025.09+772.1</f>
        <v>116515.90999999999</v>
      </c>
      <c r="I207" s="18">
        <f>19859.02+81806.78+67954.85</f>
        <v>169620.65000000002</v>
      </c>
      <c r="J207" s="18">
        <f>755.82</f>
        <v>755.82</v>
      </c>
      <c r="K207" s="18"/>
      <c r="L207" s="19">
        <f t="shared" si="0"/>
        <v>510150.24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11391.54+145437.5+306.75+8830.85</f>
        <v>165966.64000000001</v>
      </c>
      <c r="I208" s="18"/>
      <c r="J208" s="18"/>
      <c r="K208" s="18"/>
      <c r="L208" s="19">
        <f t="shared" si="0"/>
        <v>165966.64000000001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3156749.8400000008</v>
      </c>
      <c r="G211" s="41">
        <f t="shared" si="1"/>
        <v>1327485.3600000003</v>
      </c>
      <c r="H211" s="41">
        <f t="shared" si="1"/>
        <v>614110.77</v>
      </c>
      <c r="I211" s="41">
        <f t="shared" si="1"/>
        <v>359530.26</v>
      </c>
      <c r="J211" s="41">
        <f t="shared" si="1"/>
        <v>62803.8</v>
      </c>
      <c r="K211" s="41">
        <f t="shared" si="1"/>
        <v>10421.43</v>
      </c>
      <c r="L211" s="41">
        <f t="shared" si="1"/>
        <v>5531101.46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566710.55+16344.68+8541.74</f>
        <v>591596.97000000009</v>
      </c>
      <c r="G215" s="18">
        <f>117838.17+16396.53+47334.59+88864.18+5198.5+1131.72</f>
        <v>276763.68999999994</v>
      </c>
      <c r="H215" s="18">
        <f>510</f>
        <v>510</v>
      </c>
      <c r="I215" s="18">
        <f>25983.36+8045.86+1908.66+527.83</f>
        <v>36465.710000000006</v>
      </c>
      <c r="J215" s="18">
        <f>1550.78+2089.42</f>
        <v>3640.2</v>
      </c>
      <c r="K215" s="18"/>
      <c r="L215" s="19">
        <f>SUM(F215:K215)</f>
        <v>908976.57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144426.88+67427.71+19807.06</f>
        <v>231661.65000000002</v>
      </c>
      <c r="G216" s="18">
        <f>45325.58+16070.93+26767.26+228.46+1515.28+2804.62</f>
        <v>92712.13</v>
      </c>
      <c r="H216" s="18">
        <f>1185+29158.97+1259.89+18910.2+142.51-1259.89</f>
        <v>49396.68</v>
      </c>
      <c r="I216" s="18">
        <f>714.96+390.5+437.86</f>
        <v>1543.3200000000002</v>
      </c>
      <c r="J216" s="18">
        <f>275.88</f>
        <v>275.88</v>
      </c>
      <c r="K216" s="18"/>
      <c r="L216" s="19">
        <f>SUM(F216:K216)</f>
        <v>375589.66000000003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f>1961.96</f>
        <v>1961.96</v>
      </c>
      <c r="G217" s="18">
        <f>2046.3+150.04</f>
        <v>2196.34</v>
      </c>
      <c r="H217" s="18"/>
      <c r="I217" s="18"/>
      <c r="J217" s="18"/>
      <c r="K217" s="18"/>
      <c r="L217" s="19">
        <f>SUM(F217:K217)</f>
        <v>4158.3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6813.75+22964.25+1687.25+11626.26</f>
        <v>43091.51</v>
      </c>
      <c r="G218" s="18">
        <f>521.3+390.12+1806.29+1032+1096.53</f>
        <v>4846.24</v>
      </c>
      <c r="H218" s="18">
        <f>1229+7.53</f>
        <v>1236.53</v>
      </c>
      <c r="I218" s="18">
        <f>745.95+14690.05+1189.89</f>
        <v>16625.89</v>
      </c>
      <c r="J218" s="18">
        <v>2965.77</v>
      </c>
      <c r="K218" s="18">
        <f>655+1740</f>
        <v>2395</v>
      </c>
      <c r="L218" s="19">
        <f>SUM(F218:K218)</f>
        <v>71160.94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62561.98+19355.96</f>
        <v>81917.94</v>
      </c>
      <c r="G220" s="18">
        <f>848.43+4786.08+8858.72+126.16+1411.27+2781.35+39.39</f>
        <v>18851.399999999998</v>
      </c>
      <c r="H220" s="18">
        <f>2700</f>
        <v>2700</v>
      </c>
      <c r="I220" s="18">
        <f>1081.29+2578.03+776.25</f>
        <v>4435.57</v>
      </c>
      <c r="J220" s="18"/>
      <c r="K220" s="18"/>
      <c r="L220" s="19">
        <f t="shared" ref="L220:L226" si="2">SUM(F220:K220)</f>
        <v>107904.91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11846.06+17470.96+21521.94+48567.64</f>
        <v>99406.599999999991</v>
      </c>
      <c r="G221" s="18">
        <f>1043.73+1996.05+16616.62+10462.76+2982.66+4791.82+71.86+13774.75+3575.07+5274.5+96.88</f>
        <v>60686.69999999999</v>
      </c>
      <c r="H221" s="18">
        <f>3267.18+1250+1367+3792</f>
        <v>9676.18</v>
      </c>
      <c r="I221" s="18">
        <f>1150+8074.25+1329.45+5321.88</f>
        <v>15875.580000000002</v>
      </c>
      <c r="J221" s="18">
        <f>228.8+995.25+16269.55</f>
        <v>17493.599999999999</v>
      </c>
      <c r="K221" s="18">
        <f>1223</f>
        <v>1223</v>
      </c>
      <c r="L221" s="19">
        <f t="shared" si="2"/>
        <v>204361.66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850+19439.94+50331.06</f>
        <v>70621</v>
      </c>
      <c r="G222" s="18">
        <f>65.03+13774.75+5120.84+7533.75+962.12+141.07</f>
        <v>27597.56</v>
      </c>
      <c r="H222" s="18">
        <f>150+1416.66+81+238.16+20.8+750+159.86+121.13+127.09+193.3+612.83+117.89</f>
        <v>3988.7200000000003</v>
      </c>
      <c r="I222" s="18">
        <f>703.87+70.84+10470.42</f>
        <v>11245.130000000001</v>
      </c>
      <c r="J222" s="18">
        <v>48.66</v>
      </c>
      <c r="K222" s="18">
        <f>359.09+1532.1+448.92</f>
        <v>2340.1099999999997</v>
      </c>
      <c r="L222" s="19">
        <f t="shared" si="2"/>
        <v>115841.18000000001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34996+24100.96</f>
        <v>59096.959999999999</v>
      </c>
      <c r="G223" s="18">
        <f>11888.39+4207.24+8417.84+119.77</f>
        <v>24633.24</v>
      </c>
      <c r="H223" s="18">
        <f>923.65+1300+888.95+95.14</f>
        <v>3207.7400000000002</v>
      </c>
      <c r="I223" s="18">
        <f>301.13</f>
        <v>301.13</v>
      </c>
      <c r="J223" s="18"/>
      <c r="K223" s="18"/>
      <c r="L223" s="19">
        <f t="shared" si="2"/>
        <v>87239.07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72227.12</v>
      </c>
      <c r="G225" s="18">
        <f>13209.71+5547.17+8299.03+1073.7</f>
        <v>28129.609999999997</v>
      </c>
      <c r="H225" s="18">
        <f>1274+5946.37+17926.15+880.03+3469.91+3077.65+44.06+467.14+686.37+868.5+9971.81+6520.03+3948.07</f>
        <v>55080.090000000004</v>
      </c>
      <c r="I225" s="18">
        <f>9621.93+27287.08+38607.96</f>
        <v>75516.97</v>
      </c>
      <c r="J225" s="18">
        <v>1495</v>
      </c>
      <c r="K225" s="18"/>
      <c r="L225" s="19">
        <f t="shared" si="2"/>
        <v>232448.79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17187.85+2315.86+53391.8+77.23+1259.89</f>
        <v>74232.63</v>
      </c>
      <c r="I226" s="18"/>
      <c r="J226" s="18"/>
      <c r="K226" s="18"/>
      <c r="L226" s="19">
        <f t="shared" si="2"/>
        <v>74232.63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1251581.71</v>
      </c>
      <c r="G229" s="41">
        <f>SUM(G215:G228)</f>
        <v>536416.91</v>
      </c>
      <c r="H229" s="41">
        <f>SUM(H215:H228)</f>
        <v>200028.57</v>
      </c>
      <c r="I229" s="41">
        <f>SUM(I215:I228)</f>
        <v>162009.30000000002</v>
      </c>
      <c r="J229" s="41">
        <f>SUM(J215:J228)</f>
        <v>25919.109999999997</v>
      </c>
      <c r="K229" s="41">
        <f t="shared" si="3"/>
        <v>5958.11</v>
      </c>
      <c r="L229" s="41">
        <f t="shared" si="3"/>
        <v>2181913.7099999995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1215503.89+48075.55</f>
        <v>1263579.44</v>
      </c>
      <c r="G233" s="18">
        <f>280149.16+32733.13+92983.74+166041.01+10757+2487.55</f>
        <v>585151.59000000008</v>
      </c>
      <c r="H233" s="18">
        <f>3188.29</f>
        <v>3188.29</v>
      </c>
      <c r="I233" s="18">
        <f>43200.42+14159.46+8560.18+691.52</f>
        <v>66611.58</v>
      </c>
      <c r="J233" s="18">
        <f>6371.15+555.69+6451.09</f>
        <v>13377.93</v>
      </c>
      <c r="K233" s="18"/>
      <c r="L233" s="19">
        <f>SUM(F233:K233)</f>
        <v>1931908.83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272734.02+105516.37</f>
        <v>378250.39</v>
      </c>
      <c r="G234" s="18">
        <f>69744.78+28140.52+50488.03+868.75</f>
        <v>149242.08000000002</v>
      </c>
      <c r="H234" s="18">
        <f>22987.02+69996.5+22148.38+120040.19+74.58-22148.38</f>
        <v>213098.29</v>
      </c>
      <c r="I234" s="18">
        <f>206.38+19.97+1847.14</f>
        <v>2073.4900000000002</v>
      </c>
      <c r="J234" s="18">
        <f>755.57</f>
        <v>755.57</v>
      </c>
      <c r="K234" s="18"/>
      <c r="L234" s="19">
        <f>SUM(F234:K234)</f>
        <v>743419.82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3809.08</v>
      </c>
      <c r="G235" s="18">
        <v>291.5</v>
      </c>
      <c r="H235" s="18">
        <v>45051.23</v>
      </c>
      <c r="I235" s="18">
        <v>10353.530000000001</v>
      </c>
      <c r="J235" s="18"/>
      <c r="K235" s="18"/>
      <c r="L235" s="19">
        <f>SUM(F235:K235)</f>
        <v>59505.340000000004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20109.98+66110+1687.25+10818.9</f>
        <v>98726.12999999999</v>
      </c>
      <c r="G236" s="18">
        <f>1538.48+2139.58+4977.59+5369.98+848.43+1096.7</f>
        <v>15970.76</v>
      </c>
      <c r="H236" s="18">
        <f>494+20893+200</f>
        <v>21587</v>
      </c>
      <c r="I236" s="18">
        <f>8636.15+32265.69+905.8</f>
        <v>41807.64</v>
      </c>
      <c r="J236" s="18">
        <f>3068.48+560</f>
        <v>3628.48</v>
      </c>
      <c r="K236" s="18">
        <f>1961.62+5025</f>
        <v>6986.62</v>
      </c>
      <c r="L236" s="19">
        <f>SUM(F236:K236)</f>
        <v>188706.62999999998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59746.94+10378.01+37571.04</f>
        <v>107695.98999999999</v>
      </c>
      <c r="G238" s="18">
        <f>1936.77+5393.37+8513.2+141.6+18347.2+2699.11+5320.12+76.12</f>
        <v>42427.490000000005</v>
      </c>
      <c r="H238" s="18">
        <f>113+900+714</f>
        <v>1727</v>
      </c>
      <c r="I238" s="18">
        <f>68.19+167.12+1929.98+789.51</f>
        <v>2954.8</v>
      </c>
      <c r="J238" s="18">
        <v>164</v>
      </c>
      <c r="K238" s="18">
        <f>170.22</f>
        <v>170.22</v>
      </c>
      <c r="L238" s="19">
        <f t="shared" ref="L238:L244" si="4">SUM(F238:K238)</f>
        <v>155139.49999999997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28120.9+33914.14+14068.12+81130.9</f>
        <v>157234.06</v>
      </c>
      <c r="G239" s="18">
        <f>2548.67+4819.95+33261.18+1908.96+3441.36+6317.34+83.04+848.43+6206.56+8765.06+162.36</f>
        <v>68362.91</v>
      </c>
      <c r="H239" s="18">
        <f>9483.6+6865.32+3005.94+8810.4</f>
        <v>28165.260000000002</v>
      </c>
      <c r="I239" s="18">
        <f>2219.46+15213.61+5404.72+7109.53</f>
        <v>29947.32</v>
      </c>
      <c r="J239" s="18">
        <f>495.91+1904.79+48908.95</f>
        <v>51309.649999999994</v>
      </c>
      <c r="K239" s="18">
        <f>4163.39</f>
        <v>4163.3900000000003</v>
      </c>
      <c r="L239" s="19">
        <f t="shared" si="4"/>
        <v>339182.58999999997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1600+37735.88+58068.28</f>
        <v>97404.160000000003</v>
      </c>
      <c r="G240" s="18">
        <f>137.7+18347.2+7476.3+8885.12+1982.57+199.09</f>
        <v>37027.979999999996</v>
      </c>
      <c r="H240" s="18">
        <f>300+2833.34+476.34+156.61+1295+427.42+354.79+287.97+395.02+1225.66+428.09</f>
        <v>8180.2400000000016</v>
      </c>
      <c r="I240" s="18">
        <f>1165.44+541.21+20940.95</f>
        <v>22647.600000000002</v>
      </c>
      <c r="J240" s="18">
        <f>4476.31</f>
        <v>4476.3100000000004</v>
      </c>
      <c r="K240" s="18">
        <f>1345.19+4050.58+979.36</f>
        <v>6375.13</v>
      </c>
      <c r="L240" s="19">
        <f t="shared" si="4"/>
        <v>176111.42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67932.02+46784.92+71162</f>
        <v>185878.94</v>
      </c>
      <c r="G241" s="18">
        <f>50470.03+13660.55+23968.48+857.75+375.82</f>
        <v>89332.63</v>
      </c>
      <c r="H241" s="18">
        <f>3756.72+1847.35+3000+2446.52+216.96</f>
        <v>11267.55</v>
      </c>
      <c r="I241" s="18">
        <f>1918.13</f>
        <v>1918.13</v>
      </c>
      <c r="J241" s="18"/>
      <c r="K241" s="18">
        <f>7893.52</f>
        <v>7893.52</v>
      </c>
      <c r="L241" s="19">
        <f t="shared" si="4"/>
        <v>296290.77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191062.15</v>
      </c>
      <c r="G243" s="18">
        <f>78019.52+14469.72+20861.91+2512.57</f>
        <v>115863.72000000002</v>
      </c>
      <c r="H243" s="18">
        <f>3360.5+11892.79+25233.85+1749.35+6276.93+6241.73+12.58+88.12+1231.61+1527.43+509.38+19943.72+12250.01+8102.06+432.48</f>
        <v>98852.539999999979</v>
      </c>
      <c r="I243" s="18">
        <f>16768.65+54574.15+85033.6</f>
        <v>156376.40000000002</v>
      </c>
      <c r="J243" s="18"/>
      <c r="K243" s="18"/>
      <c r="L243" s="19">
        <f t="shared" si="4"/>
        <v>562154.81000000006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59005.85+24679.39+7248.9+108023.18+229.52+22148.38</f>
        <v>221335.21999999997</v>
      </c>
      <c r="I244" s="18"/>
      <c r="J244" s="18"/>
      <c r="K244" s="18"/>
      <c r="L244" s="19">
        <f t="shared" si="4"/>
        <v>221335.21999999997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2483640.34</v>
      </c>
      <c r="G247" s="41">
        <f t="shared" si="5"/>
        <v>1103670.6600000001</v>
      </c>
      <c r="H247" s="41">
        <f t="shared" si="5"/>
        <v>652452.62</v>
      </c>
      <c r="I247" s="41">
        <f t="shared" si="5"/>
        <v>334690.49000000005</v>
      </c>
      <c r="J247" s="41">
        <f t="shared" si="5"/>
        <v>73711.939999999988</v>
      </c>
      <c r="K247" s="41">
        <f t="shared" si="5"/>
        <v>25588.880000000001</v>
      </c>
      <c r="L247" s="41">
        <f t="shared" si="5"/>
        <v>4673754.9299999988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6891971.8900000006</v>
      </c>
      <c r="G257" s="41">
        <f t="shared" si="8"/>
        <v>2967572.9300000006</v>
      </c>
      <c r="H257" s="41">
        <f t="shared" si="8"/>
        <v>1466591.96</v>
      </c>
      <c r="I257" s="41">
        <f t="shared" si="8"/>
        <v>856230.05</v>
      </c>
      <c r="J257" s="41">
        <f t="shared" si="8"/>
        <v>162434.84999999998</v>
      </c>
      <c r="K257" s="41">
        <f t="shared" si="8"/>
        <v>41968.42</v>
      </c>
      <c r="L257" s="41">
        <f t="shared" si="8"/>
        <v>12386770.099999998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404761+137619+267142</f>
        <v>809522</v>
      </c>
      <c r="L260" s="19">
        <f>SUM(F260:K260)</f>
        <v>809522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83257+28307+54950</f>
        <v>166514</v>
      </c>
      <c r="L261" s="19">
        <f>SUM(F261:K261)</f>
        <v>166514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25000+8500+16500</f>
        <v>50000</v>
      </c>
      <c r="L266" s="19">
        <f t="shared" si="9"/>
        <v>50000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1026036</v>
      </c>
      <c r="L270" s="41">
        <f t="shared" si="9"/>
        <v>1026036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6891971.8900000006</v>
      </c>
      <c r="G271" s="42">
        <f t="shared" si="11"/>
        <v>2967572.9300000006</v>
      </c>
      <c r="H271" s="42">
        <f t="shared" si="11"/>
        <v>1466591.96</v>
      </c>
      <c r="I271" s="42">
        <f t="shared" si="11"/>
        <v>856230.05</v>
      </c>
      <c r="J271" s="42">
        <f t="shared" si="11"/>
        <v>162434.84999999998</v>
      </c>
      <c r="K271" s="42">
        <f t="shared" si="11"/>
        <v>1068004.42</v>
      </c>
      <c r="L271" s="42">
        <f t="shared" si="11"/>
        <v>13412806.099999998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71887.56+2304</f>
        <v>74191.56</v>
      </c>
      <c r="G276" s="18">
        <f>11248.35+5380.69+7421.86</f>
        <v>24050.9</v>
      </c>
      <c r="H276" s="18"/>
      <c r="I276" s="18">
        <f>1373.63</f>
        <v>1373.63</v>
      </c>
      <c r="J276" s="18"/>
      <c r="K276" s="18"/>
      <c r="L276" s="19">
        <f>SUM(F276:K276)</f>
        <v>99616.09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4">
        <v>75327.649999999994</v>
      </c>
      <c r="G277" s="4">
        <f>11901.08+5331.66+7059.37</f>
        <v>24292.109999999997</v>
      </c>
      <c r="H277" s="4">
        <v>27732.39</v>
      </c>
      <c r="I277" s="4"/>
      <c r="J277" s="18"/>
      <c r="K277" s="18"/>
      <c r="L277" s="19">
        <f>SUM(F277:K277)</f>
        <v>127352.15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10888.06</f>
        <v>10888.06</v>
      </c>
      <c r="I282" s="18">
        <f>1397.62</f>
        <v>1397.62</v>
      </c>
      <c r="J282" s="18"/>
      <c r="K282" s="18"/>
      <c r="L282" s="19">
        <f t="shared" si="12"/>
        <v>12285.68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149519.21</v>
      </c>
      <c r="G290" s="42">
        <f t="shared" si="13"/>
        <v>48343.009999999995</v>
      </c>
      <c r="H290" s="42">
        <f t="shared" si="13"/>
        <v>38620.449999999997</v>
      </c>
      <c r="I290" s="42">
        <f t="shared" si="13"/>
        <v>2771.25</v>
      </c>
      <c r="J290" s="42">
        <f t="shared" si="13"/>
        <v>0</v>
      </c>
      <c r="K290" s="42">
        <f t="shared" si="13"/>
        <v>0</v>
      </c>
      <c r="L290" s="41">
        <f t="shared" si="13"/>
        <v>239253.91999999998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7388.06</v>
      </c>
      <c r="I301" s="18">
        <v>5771.7</v>
      </c>
      <c r="J301" s="18"/>
      <c r="K301" s="18"/>
      <c r="L301" s="19">
        <f t="shared" si="14"/>
        <v>13159.76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7388.06</v>
      </c>
      <c r="I309" s="42">
        <f t="shared" si="15"/>
        <v>5771.7</v>
      </c>
      <c r="J309" s="42">
        <f t="shared" si="15"/>
        <v>0</v>
      </c>
      <c r="K309" s="42">
        <f t="shared" si="15"/>
        <v>0</v>
      </c>
      <c r="L309" s="41">
        <f t="shared" si="15"/>
        <v>13159.76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149519.21</v>
      </c>
      <c r="G338" s="41">
        <f t="shared" si="20"/>
        <v>48343.009999999995</v>
      </c>
      <c r="H338" s="41">
        <f t="shared" si="20"/>
        <v>46008.509999999995</v>
      </c>
      <c r="I338" s="41">
        <f t="shared" si="20"/>
        <v>8542.9500000000007</v>
      </c>
      <c r="J338" s="41">
        <f t="shared" si="20"/>
        <v>0</v>
      </c>
      <c r="K338" s="41">
        <f t="shared" si="20"/>
        <v>0</v>
      </c>
      <c r="L338" s="41">
        <f t="shared" si="20"/>
        <v>252413.68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149519.21</v>
      </c>
      <c r="G352" s="41">
        <f>G338</f>
        <v>48343.009999999995</v>
      </c>
      <c r="H352" s="41">
        <f>H338</f>
        <v>46008.509999999995</v>
      </c>
      <c r="I352" s="41">
        <f>I338</f>
        <v>8542.9500000000007</v>
      </c>
      <c r="J352" s="41">
        <f>J338</f>
        <v>0</v>
      </c>
      <c r="K352" s="47">
        <f>K338+K351</f>
        <v>0</v>
      </c>
      <c r="L352" s="41">
        <f>L338+L351</f>
        <v>252413.68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237482*0.5</f>
        <v>118741</v>
      </c>
      <c r="I358" s="18"/>
      <c r="J358" s="18"/>
      <c r="K358" s="18"/>
      <c r="L358" s="13">
        <f>SUM(F358:K358)</f>
        <v>118741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237482-H358-H360</f>
        <v>40371.94</v>
      </c>
      <c r="I359" s="18"/>
      <c r="J359" s="18"/>
      <c r="K359" s="18"/>
      <c r="L359" s="19">
        <f>SUM(F359:K359)</f>
        <v>40371.94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237482*0.33</f>
        <v>78369.06</v>
      </c>
      <c r="I360" s="18"/>
      <c r="J360" s="18"/>
      <c r="K360" s="18"/>
      <c r="L360" s="19">
        <f>SUM(F360:K360)</f>
        <v>78369.06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237482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237482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416</v>
      </c>
      <c r="I395" s="18">
        <v>1579934</v>
      </c>
      <c r="J395" s="24" t="s">
        <v>289</v>
      </c>
      <c r="K395" s="24" t="s">
        <v>289</v>
      </c>
      <c r="L395" s="56">
        <f t="shared" ref="L395:L400" si="26">SUM(F395:K395)</f>
        <v>1580350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89</v>
      </c>
      <c r="I396" s="18"/>
      <c r="J396" s="24" t="s">
        <v>289</v>
      </c>
      <c r="K396" s="24" t="s">
        <v>289</v>
      </c>
      <c r="L396" s="56">
        <f t="shared" si="26"/>
        <v>89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690</v>
      </c>
      <c r="I397" s="18"/>
      <c r="J397" s="24" t="s">
        <v>289</v>
      </c>
      <c r="K397" s="24" t="s">
        <v>289</v>
      </c>
      <c r="L397" s="56">
        <f t="shared" si="26"/>
        <v>50690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12+12</f>
        <v>24</v>
      </c>
      <c r="I400" s="18"/>
      <c r="J400" s="24" t="s">
        <v>289</v>
      </c>
      <c r="K400" s="24" t="s">
        <v>289</v>
      </c>
      <c r="L400" s="56">
        <f t="shared" si="26"/>
        <v>24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1219</v>
      </c>
      <c r="I401" s="47">
        <f>SUM(I395:I400)</f>
        <v>1579934</v>
      </c>
      <c r="J401" s="45" t="s">
        <v>289</v>
      </c>
      <c r="K401" s="45" t="s">
        <v>289</v>
      </c>
      <c r="L401" s="47">
        <f>SUM(L395:L400)</f>
        <v>1631153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1219</v>
      </c>
      <c r="I408" s="47">
        <f>I393+I401+I407</f>
        <v>1579934</v>
      </c>
      <c r="J408" s="24" t="s">
        <v>289</v>
      </c>
      <c r="K408" s="24" t="s">
        <v>289</v>
      </c>
      <c r="L408" s="47">
        <f>L393+L401+L407</f>
        <v>1631153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>
        <v>1522208</v>
      </c>
      <c r="H421" s="18"/>
      <c r="I421" s="18"/>
      <c r="J421" s="18"/>
      <c r="K421" s="18"/>
      <c r="L421" s="56">
        <f t="shared" ref="L421:L426" si="29">SUM(F421:K421)</f>
        <v>1522208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50000</v>
      </c>
      <c r="I422" s="18"/>
      <c r="J422" s="18"/>
      <c r="K422" s="18"/>
      <c r="L422" s="56">
        <f t="shared" si="29"/>
        <v>50000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1522208</v>
      </c>
      <c r="H427" s="47">
        <f t="shared" si="30"/>
        <v>50000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1572208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1522208</v>
      </c>
      <c r="H434" s="47">
        <f t="shared" si="32"/>
        <v>50000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1572208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307455+432992+572439+43307+15396</f>
        <v>1371589</v>
      </c>
      <c r="H440" s="18"/>
      <c r="I440" s="56">
        <f t="shared" si="33"/>
        <v>1371589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1371589</v>
      </c>
      <c r="H446" s="13">
        <f>SUM(H439:H445)</f>
        <v>0</v>
      </c>
      <c r="I446" s="13">
        <f>SUM(I439:I445)</f>
        <v>1371589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G440</f>
        <v>1371589</v>
      </c>
      <c r="H459" s="18"/>
      <c r="I459" s="56">
        <f t="shared" si="34"/>
        <v>1371589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1371589</v>
      </c>
      <c r="H460" s="83">
        <f>SUM(H454:H459)</f>
        <v>0</v>
      </c>
      <c r="I460" s="83">
        <f>SUM(I454:I459)</f>
        <v>1371589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1371589</v>
      </c>
      <c r="H461" s="42">
        <f>H452+H460</f>
        <v>0</v>
      </c>
      <c r="I461" s="42">
        <f>I452+I460</f>
        <v>1371589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607037.84</v>
      </c>
      <c r="G465" s="18">
        <v>3240.46</v>
      </c>
      <c r="H465" s="18">
        <v>0</v>
      </c>
      <c r="I465" s="18"/>
      <c r="J465" s="18">
        <v>1312644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13388652.16</v>
      </c>
      <c r="G468" s="18">
        <v>237482</v>
      </c>
      <c r="H468" s="18">
        <v>252413.68</v>
      </c>
      <c r="I468" s="18"/>
      <c r="J468" s="18">
        <f>L408</f>
        <v>1631153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13388652.16</v>
      </c>
      <c r="G470" s="53">
        <f>SUM(G468:G469)</f>
        <v>237482</v>
      </c>
      <c r="H470" s="53">
        <f>SUM(H468:H469)</f>
        <v>252413.68</v>
      </c>
      <c r="I470" s="53">
        <f>SUM(I468:I469)</f>
        <v>0</v>
      </c>
      <c r="J470" s="53">
        <f>SUM(J468:J469)</f>
        <v>1631153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13412806.1</v>
      </c>
      <c r="G472" s="18">
        <v>237482</v>
      </c>
      <c r="H472" s="18">
        <v>252413.68</v>
      </c>
      <c r="I472" s="18"/>
      <c r="J472" s="18">
        <f>L434</f>
        <v>1572208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13412806.1</v>
      </c>
      <c r="G474" s="53">
        <f>SUM(G472:G473)</f>
        <v>237482</v>
      </c>
      <c r="H474" s="53">
        <f>SUM(H472:H473)</f>
        <v>252413.68</v>
      </c>
      <c r="I474" s="53">
        <f>SUM(I472:I473)</f>
        <v>0</v>
      </c>
      <c r="J474" s="53">
        <f>SUM(J472:J473)</f>
        <v>1572208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582883.90000000037</v>
      </c>
      <c r="G476" s="53">
        <f>(G465+G470)- G474</f>
        <v>3240.4599999999919</v>
      </c>
      <c r="H476" s="53">
        <f>(H465+H470)- H474</f>
        <v>0</v>
      </c>
      <c r="I476" s="53">
        <f>(I465+I470)- I474</f>
        <v>0</v>
      </c>
      <c r="J476" s="53">
        <f>(J465+J470)- J474</f>
        <v>1371589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11362231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3.98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3747029.21</v>
      </c>
      <c r="G495" s="18"/>
      <c r="H495" s="18"/>
      <c r="I495" s="18"/>
      <c r="J495" s="18"/>
      <c r="K495" s="53">
        <f>SUM(F495:J495)</f>
        <v>3747029.21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3747029.21-809522</f>
        <v>2937507.21</v>
      </c>
      <c r="G498" s="204"/>
      <c r="H498" s="204"/>
      <c r="I498" s="204"/>
      <c r="J498" s="204"/>
      <c r="K498" s="205">
        <f t="shared" si="35"/>
        <v>2937507.21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494043-166514</f>
        <v>327529</v>
      </c>
      <c r="G499" s="18"/>
      <c r="H499" s="18"/>
      <c r="I499" s="18"/>
      <c r="J499" s="18"/>
      <c r="K499" s="53">
        <f t="shared" si="35"/>
        <v>327529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3265036.21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3265036.21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842062</v>
      </c>
      <c r="G501" s="204"/>
      <c r="H501" s="204"/>
      <c r="I501" s="204"/>
      <c r="J501" s="204"/>
      <c r="K501" s="205">
        <f t="shared" si="35"/>
        <v>842062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133974</v>
      </c>
      <c r="G502" s="18"/>
      <c r="H502" s="18"/>
      <c r="I502" s="18"/>
      <c r="J502" s="18"/>
      <c r="K502" s="53">
        <f t="shared" si="35"/>
        <v>133974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976036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976036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F198+F277-38448.02</f>
        <v>809093.28</v>
      </c>
      <c r="G521" s="18">
        <f>G198+G277-848.43-2941.37-5444.14</f>
        <v>305279.37</v>
      </c>
      <c r="H521" s="144">
        <f>H198+H277-8830.85</f>
        <v>280406.40999999997</v>
      </c>
      <c r="I521" s="18">
        <f>I198+I277</f>
        <v>20529.03</v>
      </c>
      <c r="J521" s="18">
        <f>J198+J277</f>
        <v>5359</v>
      </c>
      <c r="K521" s="18">
        <f>K198+K277</f>
        <v>2079.6</v>
      </c>
      <c r="L521" s="88">
        <f>SUM(F521:K521)</f>
        <v>1422746.69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F216-19807.06</f>
        <v>211854.59000000003</v>
      </c>
      <c r="G522" s="18">
        <f>G216-1515.28-2804.62</f>
        <v>88392.23000000001</v>
      </c>
      <c r="H522" s="144">
        <f>H216-1259.89</f>
        <v>48136.79</v>
      </c>
      <c r="I522" s="18">
        <f>I216</f>
        <v>1543.3200000000002</v>
      </c>
      <c r="J522" s="18">
        <f>J216</f>
        <v>275.88</v>
      </c>
      <c r="K522" s="18">
        <f>K216</f>
        <v>0</v>
      </c>
      <c r="L522" s="88">
        <f>SUM(F522:K522)</f>
        <v>350202.81000000006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</f>
        <v>378250.39</v>
      </c>
      <c r="G523" s="18">
        <f>G234</f>
        <v>149242.08000000002</v>
      </c>
      <c r="H523" s="18">
        <f>235246.67-22148.38</f>
        <v>213098.29</v>
      </c>
      <c r="I523" s="18">
        <f>I234</f>
        <v>2073.4900000000002</v>
      </c>
      <c r="J523" s="18">
        <f>J234</f>
        <v>755.57</v>
      </c>
      <c r="K523" s="18">
        <f>K234</f>
        <v>0</v>
      </c>
      <c r="L523" s="88">
        <f>SUM(F523:K523)</f>
        <v>743419.82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1399198.2600000002</v>
      </c>
      <c r="G524" s="108">
        <f t="shared" ref="G524:L524" si="36">SUM(G521:G523)</f>
        <v>542913.67999999993</v>
      </c>
      <c r="H524" s="108">
        <f>SUM(H521:H523)</f>
        <v>541641.49</v>
      </c>
      <c r="I524" s="108">
        <f t="shared" si="36"/>
        <v>24145.84</v>
      </c>
      <c r="J524" s="108">
        <f t="shared" si="36"/>
        <v>6390.45</v>
      </c>
      <c r="K524" s="108">
        <f t="shared" si="36"/>
        <v>2079.6</v>
      </c>
      <c r="L524" s="89">
        <f t="shared" si="36"/>
        <v>2516369.3199999998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(44023+89338)*0.5</f>
        <v>66680.5</v>
      </c>
      <c r="G531" s="18">
        <f>(130509.47-89338)*0.5</f>
        <v>20585.735000000001</v>
      </c>
      <c r="H531" s="18"/>
      <c r="I531" s="18"/>
      <c r="J531" s="18"/>
      <c r="K531" s="18"/>
      <c r="L531" s="88">
        <f>SUM(F531:K531)</f>
        <v>87266.235000000001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(44023+89338)*0.14</f>
        <v>18670.54</v>
      </c>
      <c r="G532" s="18">
        <f>(130509.47-89338)*0.14</f>
        <v>5764.0058000000008</v>
      </c>
      <c r="H532" s="18"/>
      <c r="I532" s="18"/>
      <c r="J532" s="18"/>
      <c r="K532" s="18"/>
      <c r="L532" s="88">
        <f>SUM(F532:K532)</f>
        <v>24434.5458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(44023+89338)*0.33</f>
        <v>44009.130000000005</v>
      </c>
      <c r="G533" s="18">
        <f>(130509.47-89338)*0.33</f>
        <v>13586.5851</v>
      </c>
      <c r="H533" s="18"/>
      <c r="I533" s="18"/>
      <c r="J533" s="18"/>
      <c r="K533" s="18"/>
      <c r="L533" s="88">
        <f>SUM(F533:K533)</f>
        <v>57595.715100000001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129360.17000000001</v>
      </c>
      <c r="G534" s="89">
        <f t="shared" ref="G534:L534" si="38">SUM(G531:G533)</f>
        <v>39936.325899999996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169296.49590000001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1000</v>
      </c>
      <c r="I537" s="18"/>
      <c r="J537" s="18"/>
      <c r="K537" s="18"/>
      <c r="L537" s="88">
        <f>SUM(F537:K537)</f>
        <v>1000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1000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1000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8830.85</v>
      </c>
      <c r="I541" s="18"/>
      <c r="J541" s="18"/>
      <c r="K541" s="18"/>
      <c r="L541" s="88">
        <f>SUM(F541:K541)</f>
        <v>8830.85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1259.8900000000001</v>
      </c>
      <c r="I542" s="18"/>
      <c r="J542" s="18"/>
      <c r="K542" s="18"/>
      <c r="L542" s="88">
        <f>SUM(F542:K542)</f>
        <v>1259.8900000000001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22148.38</v>
      </c>
      <c r="I543" s="18"/>
      <c r="J543" s="18"/>
      <c r="K543" s="18"/>
      <c r="L543" s="88">
        <f>SUM(F543:K543)</f>
        <v>22148.38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32239.120000000003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32239.120000000003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1528558.4300000002</v>
      </c>
      <c r="G545" s="89">
        <f t="shared" ref="G545:L545" si="41">G524+G529+G534+G539+G544</f>
        <v>582850.00589999999</v>
      </c>
      <c r="H545" s="89">
        <f t="shared" si="41"/>
        <v>574880.61</v>
      </c>
      <c r="I545" s="89">
        <f t="shared" si="41"/>
        <v>24145.84</v>
      </c>
      <c r="J545" s="89">
        <f t="shared" si="41"/>
        <v>6390.45</v>
      </c>
      <c r="K545" s="89">
        <f t="shared" si="41"/>
        <v>2079.6</v>
      </c>
      <c r="L545" s="89">
        <f t="shared" si="41"/>
        <v>2718904.9358999999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1422746.69</v>
      </c>
      <c r="G549" s="87">
        <f>L526</f>
        <v>0</v>
      </c>
      <c r="H549" s="87">
        <f>L531</f>
        <v>87266.235000000001</v>
      </c>
      <c r="I549" s="87">
        <f>L536</f>
        <v>0</v>
      </c>
      <c r="J549" s="87">
        <f>L541</f>
        <v>8830.85</v>
      </c>
      <c r="K549" s="87">
        <f>SUM(F549:J549)</f>
        <v>1518843.7750000001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350202.81000000006</v>
      </c>
      <c r="G550" s="87">
        <f>L527</f>
        <v>0</v>
      </c>
      <c r="H550" s="87">
        <f>L532</f>
        <v>24434.5458</v>
      </c>
      <c r="I550" s="87">
        <f>L537</f>
        <v>1000</v>
      </c>
      <c r="J550" s="87">
        <f>L542</f>
        <v>1259.8900000000001</v>
      </c>
      <c r="K550" s="87">
        <f>SUM(F550:J550)</f>
        <v>376897.24580000009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743419.82</v>
      </c>
      <c r="G551" s="87">
        <f>L528</f>
        <v>0</v>
      </c>
      <c r="H551" s="87">
        <f>L533</f>
        <v>57595.715100000001</v>
      </c>
      <c r="I551" s="87">
        <f>L538</f>
        <v>0</v>
      </c>
      <c r="J551" s="87">
        <f>L543</f>
        <v>22148.38</v>
      </c>
      <c r="K551" s="87">
        <f>SUM(F551:J551)</f>
        <v>823163.91509999998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2516369.3199999998</v>
      </c>
      <c r="G552" s="89">
        <f t="shared" si="42"/>
        <v>0</v>
      </c>
      <c r="H552" s="89">
        <f t="shared" si="42"/>
        <v>169296.49590000001</v>
      </c>
      <c r="I552" s="89">
        <f t="shared" si="42"/>
        <v>1000</v>
      </c>
      <c r="J552" s="89">
        <f t="shared" si="42"/>
        <v>32239.120000000003</v>
      </c>
      <c r="K552" s="89">
        <f t="shared" si="42"/>
        <v>2718904.9359000004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38448.019999999997</v>
      </c>
      <c r="G557" s="18">
        <f>848.43+2941.37+5444.14</f>
        <v>9233.94</v>
      </c>
      <c r="H557" s="18"/>
      <c r="I557" s="18"/>
      <c r="J557" s="18"/>
      <c r="K557" s="18"/>
      <c r="L557" s="88">
        <f>SUM(F557:K557)</f>
        <v>47681.96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19807.060000000001</v>
      </c>
      <c r="G558" s="18">
        <f>1515.28+2804.62</f>
        <v>4319.8999999999996</v>
      </c>
      <c r="H558" s="18"/>
      <c r="I558" s="18"/>
      <c r="J558" s="18"/>
      <c r="K558" s="18"/>
      <c r="L558" s="88">
        <f>SUM(F558:K558)</f>
        <v>24126.959999999999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58255.08</v>
      </c>
      <c r="G560" s="108">
        <f t="shared" si="43"/>
        <v>13553.84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71808.92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58255.08</v>
      </c>
      <c r="G571" s="89">
        <f t="shared" ref="G571:L571" si="46">G560+G565+G570</f>
        <v>13553.84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71808.92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204227.76</v>
      </c>
      <c r="G582" s="18">
        <v>18910.2</v>
      </c>
      <c r="H582" s="18">
        <v>120040.19</v>
      </c>
      <c r="I582" s="87">
        <f t="shared" si="47"/>
        <v>343178.15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45051.23</v>
      </c>
      <c r="I584" s="87">
        <f t="shared" si="47"/>
        <v>45051.23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145437.5+306.75</f>
        <v>145744.25</v>
      </c>
      <c r="I591" s="18">
        <v>53391.8</v>
      </c>
      <c r="J591" s="18">
        <f>108023.18</f>
        <v>108023.18</v>
      </c>
      <c r="K591" s="104">
        <f t="shared" ref="K591:K597" si="48">SUM(H591:J591)</f>
        <v>307159.23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8830.85</v>
      </c>
      <c r="I592" s="18">
        <f>H542</f>
        <v>1259.8900000000001</v>
      </c>
      <c r="J592" s="18">
        <f>H543</f>
        <v>22148.38</v>
      </c>
      <c r="K592" s="104">
        <f t="shared" si="48"/>
        <v>32239.120000000003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59005.85</v>
      </c>
      <c r="K593" s="104">
        <f t="shared" si="48"/>
        <v>59005.85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17187.849999999999</v>
      </c>
      <c r="J594" s="18">
        <v>24679.39</v>
      </c>
      <c r="K594" s="104">
        <f t="shared" si="48"/>
        <v>41867.24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11391.54</v>
      </c>
      <c r="I595" s="18">
        <f>2315.86+77.23</f>
        <v>2393.09</v>
      </c>
      <c r="J595" s="18">
        <f>7248.9+229.52</f>
        <v>7478.42</v>
      </c>
      <c r="K595" s="104">
        <f t="shared" si="48"/>
        <v>21263.050000000003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165966.64000000001</v>
      </c>
      <c r="I598" s="108">
        <f>SUM(I591:I597)</f>
        <v>74232.63</v>
      </c>
      <c r="J598" s="108">
        <f>SUM(J591:J597)</f>
        <v>221335.22</v>
      </c>
      <c r="K598" s="108">
        <f>SUM(K591:K597)</f>
        <v>461534.48999999993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</f>
        <v>62803.8</v>
      </c>
      <c r="I604" s="18">
        <f>J229</f>
        <v>25919.109999999997</v>
      </c>
      <c r="J604" s="18">
        <f>J247</f>
        <v>73711.939999999988</v>
      </c>
      <c r="K604" s="104">
        <f>SUM(H604:J604)</f>
        <v>162434.84999999998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62803.8</v>
      </c>
      <c r="I605" s="108">
        <f>SUM(I602:I604)</f>
        <v>25919.109999999997</v>
      </c>
      <c r="J605" s="108">
        <f>SUM(J602:J604)</f>
        <v>73711.939999999988</v>
      </c>
      <c r="K605" s="108">
        <f>SUM(K602:K604)</f>
        <v>162434.84999999998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4">
        <f>34.41+155.61+31.28+211.98+640.32+213.84+640.32+1143.66+815.67+320.76+1190.75+1468.32+62.56+459.29+103.23+544.64+640.32+639.91+755.25+571.56+282.64+31.28+1351.28+825.44+95.26+139.04+244.22+139.04+302.94+306.3+10.94+503.01+208.56+122.52+264.74+209.56</f>
        <v>15680.450000000003</v>
      </c>
      <c r="G611" s="18">
        <f>F611*0.2181</f>
        <v>3419.9061450000004</v>
      </c>
      <c r="H611" s="18"/>
      <c r="I611" s="18"/>
      <c r="J611" s="18"/>
      <c r="K611" s="18"/>
      <c r="L611" s="88">
        <f>SUM(F611:K611)</f>
        <v>19100.356145000002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853.71+1124.55+1269.62+1269.62+2499+78.2+165</f>
        <v>7259.7</v>
      </c>
      <c r="G612" s="18">
        <f>F612*0.2181</f>
        <v>1583.3405699999998</v>
      </c>
      <c r="H612" s="18"/>
      <c r="I612" s="18"/>
      <c r="J612" s="18"/>
      <c r="K612" s="18"/>
      <c r="L612" s="88">
        <f>SUM(F612:K612)</f>
        <v>8843.0405699999992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>SUM(F612:F613)</f>
        <v>7259.7</v>
      </c>
      <c r="G614" s="108">
        <f t="shared" ref="G614:L614" si="49">SUM(G611:G613)</f>
        <v>5003.2467150000002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27943.396715000003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863830.71</v>
      </c>
      <c r="H617" s="109">
        <f>SUM(F52)</f>
        <v>863830.71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42647.87</v>
      </c>
      <c r="H618" s="109">
        <f>SUM(G52)</f>
        <v>42647.87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127460.24</v>
      </c>
      <c r="H619" s="109">
        <f>SUM(H52)</f>
        <v>127460.23999999999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1371589</v>
      </c>
      <c r="H621" s="109">
        <f>SUM(J52)</f>
        <v>1371589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582883.89999999991</v>
      </c>
      <c r="H622" s="109">
        <f>F476</f>
        <v>582883.90000000037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3240.46</v>
      </c>
      <c r="H623" s="109">
        <f>G476</f>
        <v>3240.4599999999919</v>
      </c>
      <c r="I623" s="121" t="s">
        <v>102</v>
      </c>
      <c r="J623" s="109">
        <f t="shared" si="50"/>
        <v>8.1854523159563541E-12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1371589</v>
      </c>
      <c r="H626" s="109">
        <f>J476</f>
        <v>1371589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13388652.16</v>
      </c>
      <c r="H627" s="104">
        <f>SUM(F468)</f>
        <v>13388652.16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237482</v>
      </c>
      <c r="H628" s="104">
        <f>SUM(G468)</f>
        <v>237482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252413.68</v>
      </c>
      <c r="H629" s="104">
        <f>SUM(H468)</f>
        <v>252413.68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1631153</v>
      </c>
      <c r="H631" s="104">
        <f>SUM(J468)</f>
        <v>1631153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13412806.099999998</v>
      </c>
      <c r="H632" s="104">
        <f>SUM(F472)</f>
        <v>13412806.1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252413.68</v>
      </c>
      <c r="H633" s="104">
        <f>SUM(H472)</f>
        <v>252413.68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237482</v>
      </c>
      <c r="H635" s="104">
        <f>SUM(G472)</f>
        <v>237482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1631153</v>
      </c>
      <c r="H637" s="164">
        <f>SUM(J468)</f>
        <v>1631153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1572208</v>
      </c>
      <c r="H638" s="164">
        <f>SUM(J472)</f>
        <v>1572208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1371589</v>
      </c>
      <c r="H640" s="104">
        <f>SUM(G461)</f>
        <v>1371589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1371589</v>
      </c>
      <c r="H642" s="104">
        <f>SUM(I461)</f>
        <v>1371589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1219</v>
      </c>
      <c r="H644" s="104">
        <f>H408</f>
        <v>1219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1631153</v>
      </c>
      <c r="H646" s="104">
        <f>L408</f>
        <v>1631153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461534.48999999993</v>
      </c>
      <c r="H647" s="104">
        <f>L208+L226+L244</f>
        <v>461534.49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162434.84999999998</v>
      </c>
      <c r="H648" s="104">
        <f>(J257+J338)-(J255+J336)</f>
        <v>162434.84999999998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165966.64000000001</v>
      </c>
      <c r="H649" s="104">
        <f>H598</f>
        <v>165966.64000000001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74232.63</v>
      </c>
      <c r="H650" s="104">
        <f>I598</f>
        <v>74232.63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221335.21999999997</v>
      </c>
      <c r="H651" s="104">
        <f>J598</f>
        <v>221335.22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5889096.3799999999</v>
      </c>
      <c r="G660" s="19">
        <f>(L229+L309+L359)</f>
        <v>2235445.4099999992</v>
      </c>
      <c r="H660" s="19">
        <f>(L247+L328+L360)</f>
        <v>4752123.9899999984</v>
      </c>
      <c r="I660" s="19">
        <f>SUM(F660:H660)</f>
        <v>12876665.779999997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73930.63</v>
      </c>
      <c r="G661" s="19">
        <f>(L359/IF(SUM(L358:L360)=0,1,SUM(L358:L360))*(SUM(G97:G110)))</f>
        <v>25136.414200000003</v>
      </c>
      <c r="H661" s="19">
        <f>(L360/IF(SUM(L358:L360)=0,1,SUM(L358:L360))*(SUM(G97:G110)))</f>
        <v>48794.215800000005</v>
      </c>
      <c r="I661" s="19">
        <f>SUM(F661:H661)</f>
        <v>147861.26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165966.64000000001</v>
      </c>
      <c r="G662" s="19">
        <f>(L226+L306)-(J226+J306)</f>
        <v>74232.63</v>
      </c>
      <c r="H662" s="19">
        <f>(L244+L325)-(J244+J325)</f>
        <v>221335.21999999997</v>
      </c>
      <c r="I662" s="19">
        <f>SUM(F662:H662)</f>
        <v>461534.49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286131.91614500002</v>
      </c>
      <c r="G663" s="199">
        <f>SUM(G575:G587)+SUM(I602:I604)+L612</f>
        <v>53672.350569999995</v>
      </c>
      <c r="H663" s="199">
        <f>SUM(H575:H587)+SUM(J602:J604)+L613</f>
        <v>238803.36</v>
      </c>
      <c r="I663" s="19">
        <f>SUM(F663:H663)</f>
        <v>578607.62671500002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5363067.1938549997</v>
      </c>
      <c r="G664" s="19">
        <f>G660-SUM(G661:G663)</f>
        <v>2082404.0152299991</v>
      </c>
      <c r="H664" s="19">
        <f>H660-SUM(H661:H663)</f>
        <v>4243191.1941999979</v>
      </c>
      <c r="I664" s="19">
        <f>I660-SUM(I661:I663)</f>
        <v>11688662.403284997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252.34</v>
      </c>
      <c r="G665" s="248">
        <v>84.36</v>
      </c>
      <c r="H665" s="248">
        <v>192.68</v>
      </c>
      <c r="I665" s="19">
        <f>SUM(F665:H665)</f>
        <v>529.38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21253.34</v>
      </c>
      <c r="G667" s="19">
        <f>ROUND(G664/G665,2)</f>
        <v>24684.73</v>
      </c>
      <c r="H667" s="19">
        <f>ROUND(H664/H665,2)</f>
        <v>22021.96</v>
      </c>
      <c r="I667" s="19">
        <f>ROUND(I664/I665,2)</f>
        <v>22079.91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-3.17</v>
      </c>
      <c r="I670" s="19">
        <f>SUM(F670:H670)</f>
        <v>-3.17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21253.34</v>
      </c>
      <c r="G672" s="19">
        <f>ROUND((G664+G669)/(G665+G670),2)</f>
        <v>24684.73</v>
      </c>
      <c r="H672" s="19">
        <f>ROUND((H664+H669)/(H665+H670),2)</f>
        <v>22390.33</v>
      </c>
      <c r="I672" s="19">
        <f>ROUND((I664+I669)/(I665+I670),2)</f>
        <v>22212.92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Moultonborough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3563851.29</v>
      </c>
      <c r="C9" s="229">
        <f>'DOE25'!G197+'DOE25'!G215+'DOE25'!G233+'DOE25'!G276+'DOE25'!G295+'DOE25'!G314</f>
        <v>1599989.0099999998</v>
      </c>
    </row>
    <row r="10" spans="1:3" x14ac:dyDescent="0.2">
      <c r="A10" t="s">
        <v>779</v>
      </c>
      <c r="B10" s="240">
        <f>3197176.12+74191.56</f>
        <v>3271367.68</v>
      </c>
      <c r="C10" s="240">
        <f>(B10*0.2181)+807085+24050.9</f>
        <v>1544621.1910079999</v>
      </c>
    </row>
    <row r="11" spans="1:3" x14ac:dyDescent="0.2">
      <c r="A11" t="s">
        <v>780</v>
      </c>
      <c r="B11" s="240">
        <v>175352.78</v>
      </c>
      <c r="C11" s="240">
        <f>1599989.01-C10-C12</f>
        <v>45997.352592000068</v>
      </c>
    </row>
    <row r="12" spans="1:3" x14ac:dyDescent="0.2">
      <c r="A12" t="s">
        <v>781</v>
      </c>
      <c r="B12" s="240">
        <v>117130.83</v>
      </c>
      <c r="C12" s="240">
        <f>B12*0.08</f>
        <v>9370.4664000000012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3563851.29</v>
      </c>
      <c r="C13" s="231">
        <f>SUM(C10:C12)</f>
        <v>1599989.01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1457453.3399999999</v>
      </c>
      <c r="C18" s="229">
        <f>'DOE25'!G198+'DOE25'!G216+'DOE25'!G234+'DOE25'!G277+'DOE25'!G296+'DOE25'!G315</f>
        <v>556467.52</v>
      </c>
    </row>
    <row r="19" spans="1:3" x14ac:dyDescent="0.2">
      <c r="A19" t="s">
        <v>779</v>
      </c>
      <c r="B19" s="240">
        <v>857509.56</v>
      </c>
      <c r="C19" s="240">
        <f>(B19*0.2181)+219065</f>
        <v>406087.835036</v>
      </c>
    </row>
    <row r="20" spans="1:3" x14ac:dyDescent="0.2">
      <c r="A20" t="s">
        <v>780</v>
      </c>
      <c r="B20" s="240">
        <f>1456317.25-B19</f>
        <v>598807.68999999994</v>
      </c>
      <c r="C20" s="240">
        <f>556226.31-406087.84</f>
        <v>150138.47000000003</v>
      </c>
    </row>
    <row r="21" spans="1:3" x14ac:dyDescent="0.2">
      <c r="A21" t="s">
        <v>781</v>
      </c>
      <c r="B21" s="240">
        <v>1136.0899999999999</v>
      </c>
      <c r="C21" s="240">
        <v>241.21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1457453.34</v>
      </c>
      <c r="C22" s="231">
        <f>SUM(C19:C21)</f>
        <v>556467.51503599994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11542.08</v>
      </c>
      <c r="C27" s="234">
        <f>'DOE25'!G199+'DOE25'!G217+'DOE25'!G235+'DOE25'!G278+'DOE25'!G297+'DOE25'!G316</f>
        <v>2929.38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11542.08</v>
      </c>
      <c r="C30" s="240">
        <v>2929.38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11542.08</v>
      </c>
      <c r="C31" s="231">
        <f>SUM(C28:C30)</f>
        <v>2929.38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159268.65999999997</v>
      </c>
      <c r="C36" s="235">
        <f>'DOE25'!G200+'DOE25'!G218+'DOE25'!G236+'DOE25'!G279+'DOE25'!G298+'DOE25'!G317</f>
        <v>24040.98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159268.66</v>
      </c>
      <c r="C39" s="240">
        <v>24040.98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159268.66</v>
      </c>
      <c r="C40" s="231">
        <f>SUM(C37:C39)</f>
        <v>24040.98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Moultonborough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8110430.2999999989</v>
      </c>
      <c r="D5" s="20">
        <f>SUM('DOE25'!L197:L200)+SUM('DOE25'!L215:L218)+SUM('DOE25'!L233:L236)-F5-G5</f>
        <v>8063904.7399999993</v>
      </c>
      <c r="E5" s="243"/>
      <c r="F5" s="255">
        <f>SUM('DOE25'!J197:J200)+SUM('DOE25'!J215:J218)+SUM('DOE25'!J233:J236)</f>
        <v>35064.339999999997</v>
      </c>
      <c r="G5" s="53">
        <f>SUM('DOE25'!K197:K200)+SUM('DOE25'!K215:K218)+SUM('DOE25'!K233:K236)</f>
        <v>11461.220000000001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466220.93999999994</v>
      </c>
      <c r="D6" s="20">
        <f>'DOE25'!L202+'DOE25'!L220+'DOE25'!L238-F6-G6</f>
        <v>464877.00999999995</v>
      </c>
      <c r="E6" s="243"/>
      <c r="F6" s="255">
        <f>'DOE25'!J202+'DOE25'!J220+'DOE25'!J238</f>
        <v>633.71</v>
      </c>
      <c r="G6" s="53">
        <f>'DOE25'!K202+'DOE25'!K220+'DOE25'!K238</f>
        <v>710.22</v>
      </c>
      <c r="H6" s="259"/>
    </row>
    <row r="7" spans="1:9" x14ac:dyDescent="0.2">
      <c r="A7" s="32">
        <v>2200</v>
      </c>
      <c r="B7" t="s">
        <v>834</v>
      </c>
      <c r="C7" s="245">
        <f t="shared" si="0"/>
        <v>875923.4</v>
      </c>
      <c r="D7" s="20">
        <f>'DOE25'!L203+'DOE25'!L221+'DOE25'!L239-F7-G7</f>
        <v>750941.98</v>
      </c>
      <c r="E7" s="243"/>
      <c r="F7" s="255">
        <f>'DOE25'!J203+'DOE25'!J221+'DOE25'!J239</f>
        <v>119595.03</v>
      </c>
      <c r="G7" s="53">
        <f>'DOE25'!K203+'DOE25'!K221+'DOE25'!K239</f>
        <v>5386.39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283606.29000000015</v>
      </c>
      <c r="D8" s="243"/>
      <c r="E8" s="20">
        <f>'DOE25'!L204+'DOE25'!L222+'DOE25'!L240-F8-G8-D9-D11</f>
        <v>262418.27000000014</v>
      </c>
      <c r="F8" s="255">
        <f>'DOE25'!J204+'DOE25'!J222+'DOE25'!J240</f>
        <v>4670.9500000000007</v>
      </c>
      <c r="G8" s="53">
        <f>'DOE25'!K204+'DOE25'!K222+'DOE25'!K240</f>
        <v>16517.07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34323.949999999997</v>
      </c>
      <c r="D9" s="244">
        <v>34323.949999999997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235148.23</v>
      </c>
      <c r="D11" s="244">
        <v>235148.23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614828.66</v>
      </c>
      <c r="D12" s="20">
        <f>'DOE25'!L205+'DOE25'!L223+'DOE25'!L241-F12-G12</f>
        <v>606715.14</v>
      </c>
      <c r="E12" s="243"/>
      <c r="F12" s="255">
        <f>'DOE25'!J205+'DOE25'!J223+'DOE25'!J241</f>
        <v>220</v>
      </c>
      <c r="G12" s="53">
        <f>'DOE25'!K205+'DOE25'!K223+'DOE25'!K241</f>
        <v>7893.52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1304753.8400000001</v>
      </c>
      <c r="D14" s="20">
        <f>'DOE25'!L207+'DOE25'!L225+'DOE25'!L243-F14-G14</f>
        <v>1302503.02</v>
      </c>
      <c r="E14" s="243"/>
      <c r="F14" s="255">
        <f>'DOE25'!J207+'DOE25'!J225+'DOE25'!J243</f>
        <v>2250.8200000000002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461534.49</v>
      </c>
      <c r="D15" s="20">
        <f>'DOE25'!L208+'DOE25'!L226+'DOE25'!L244-F15-G15</f>
        <v>461534.49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976036</v>
      </c>
      <c r="D25" s="243"/>
      <c r="E25" s="243"/>
      <c r="F25" s="258"/>
      <c r="G25" s="256"/>
      <c r="H25" s="257">
        <f>'DOE25'!L260+'DOE25'!L261+'DOE25'!L341+'DOE25'!L342</f>
        <v>976036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237482</v>
      </c>
      <c r="D29" s="20">
        <f>'DOE25'!L358+'DOE25'!L359+'DOE25'!L360-'DOE25'!I367-F29-G29</f>
        <v>237482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252413.68</v>
      </c>
      <c r="D31" s="20">
        <f>'DOE25'!L290+'DOE25'!L309+'DOE25'!L328+'DOE25'!L333+'DOE25'!L334+'DOE25'!L335-F31-G31</f>
        <v>252413.68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12409844.24</v>
      </c>
      <c r="E33" s="246">
        <f>SUM(E5:E31)</f>
        <v>270918.27000000014</v>
      </c>
      <c r="F33" s="246">
        <f>SUM(F5:F31)</f>
        <v>162434.85</v>
      </c>
      <c r="G33" s="246">
        <f>SUM(G5:G31)</f>
        <v>41968.42</v>
      </c>
      <c r="H33" s="246">
        <f>SUM(H5:H31)</f>
        <v>976036</v>
      </c>
    </row>
    <row r="35" spans="2:8" ht="12" thickBot="1" x14ac:dyDescent="0.25">
      <c r="B35" s="253" t="s">
        <v>847</v>
      </c>
      <c r="D35" s="254">
        <f>E33</f>
        <v>270918.27000000014</v>
      </c>
      <c r="E35" s="249"/>
    </row>
    <row r="36" spans="2:8" ht="12" thickTop="1" x14ac:dyDescent="0.2">
      <c r="B36" t="s">
        <v>815</v>
      </c>
      <c r="D36" s="20">
        <f>D33</f>
        <v>12409844.24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829548.07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1371589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16876.560000000001</v>
      </c>
      <c r="E12" s="95">
        <f>'DOE25'!H13</f>
        <v>127460.24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34282.639999999999</v>
      </c>
      <c r="D13" s="95">
        <f>'DOE25'!G14</f>
        <v>25771.31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863830.71</v>
      </c>
      <c r="D18" s="41">
        <f>SUM(D8:D17)</f>
        <v>42647.87</v>
      </c>
      <c r="E18" s="41">
        <f>SUM(E8:E17)</f>
        <v>127460.24</v>
      </c>
      <c r="F18" s="41">
        <f>SUM(F8:F17)</f>
        <v>0</v>
      </c>
      <c r="G18" s="41">
        <f>SUM(G8:G17)</f>
        <v>1371589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269929.33</v>
      </c>
      <c r="D21" s="95">
        <f>'DOE25'!G22</f>
        <v>39407.410000000003</v>
      </c>
      <c r="E21" s="95">
        <f>'DOE25'!H22</f>
        <v>115081.73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11017.48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12378.51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280946.81</v>
      </c>
      <c r="D31" s="41">
        <f>SUM(D21:D30)</f>
        <v>39407.410000000003</v>
      </c>
      <c r="E31" s="41">
        <f>SUM(E21:E30)</f>
        <v>127460.23999999999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3240.46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1371589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247573.08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110310.82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582883.89999999991</v>
      </c>
      <c r="D50" s="41">
        <f>SUM(D34:D49)</f>
        <v>3240.46</v>
      </c>
      <c r="E50" s="41">
        <f>SUM(E34:E49)</f>
        <v>0</v>
      </c>
      <c r="F50" s="41">
        <f>SUM(F34:F49)</f>
        <v>0</v>
      </c>
      <c r="G50" s="41">
        <f>SUM(G34:G49)</f>
        <v>1371589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863830.71</v>
      </c>
      <c r="D51" s="41">
        <f>D50+D31</f>
        <v>42647.87</v>
      </c>
      <c r="E51" s="41">
        <f>E50+E31</f>
        <v>127460.23999999999</v>
      </c>
      <c r="F51" s="41">
        <f>F50+F31</f>
        <v>0</v>
      </c>
      <c r="G51" s="41">
        <f>G50+G31</f>
        <v>1371589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5726107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17416.439999999999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1179.0899999999999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147861.26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3178.45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1579934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21773.98</v>
      </c>
      <c r="D62" s="130">
        <f>SUM(D57:D61)</f>
        <v>147861.26</v>
      </c>
      <c r="E62" s="130">
        <f>SUM(E57:E61)</f>
        <v>0</v>
      </c>
      <c r="F62" s="130">
        <f>SUM(F57:F61)</f>
        <v>0</v>
      </c>
      <c r="G62" s="130">
        <f>SUM(G57:G61)</f>
        <v>1581153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5747880.9800000004</v>
      </c>
      <c r="D63" s="22">
        <f>D56+D62</f>
        <v>147861.26</v>
      </c>
      <c r="E63" s="22">
        <f>E56+E62</f>
        <v>0</v>
      </c>
      <c r="F63" s="22">
        <f>F56+F62</f>
        <v>0</v>
      </c>
      <c r="G63" s="22">
        <f>G56+G62</f>
        <v>1581153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7112655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7112655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261382.54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60031.27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8683.2000000000007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2640.61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330097.01</v>
      </c>
      <c r="D78" s="130">
        <f>SUM(D72:D77)</f>
        <v>2640.61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7442752.0099999998</v>
      </c>
      <c r="D81" s="130">
        <f>SUM(D79:D80)+D78+D70</f>
        <v>2640.61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129656.15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198019.17</v>
      </c>
      <c r="D88" s="95">
        <f>SUM('DOE25'!G153:G161)</f>
        <v>86980.13</v>
      </c>
      <c r="E88" s="95">
        <f>SUM('DOE25'!H153:H161)</f>
        <v>122757.53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198019.17</v>
      </c>
      <c r="D91" s="131">
        <f>SUM(D85:D90)</f>
        <v>86980.13</v>
      </c>
      <c r="E91" s="131">
        <f>SUM(E85:E90)</f>
        <v>252413.68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13388652.16</v>
      </c>
      <c r="D104" s="86">
        <f>D63+D81+D91+D103</f>
        <v>237482</v>
      </c>
      <c r="E104" s="86">
        <f>E63+E81+E91+E103</f>
        <v>252413.68</v>
      </c>
      <c r="F104" s="86">
        <f>F63+F81+F91+F103</f>
        <v>0</v>
      </c>
      <c r="G104" s="86">
        <f>G63+G81+G103</f>
        <v>1631153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5285067.76</v>
      </c>
      <c r="D109" s="24" t="s">
        <v>289</v>
      </c>
      <c r="E109" s="95">
        <f>('DOE25'!L276)+('DOE25'!L295)+('DOE25'!L314)</f>
        <v>99616.09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2470916.83</v>
      </c>
      <c r="D110" s="24" t="s">
        <v>289</v>
      </c>
      <c r="E110" s="95">
        <f>('DOE25'!L277)+('DOE25'!L296)+('DOE25'!L315)</f>
        <v>127352.15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70271.5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284174.20999999996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8110430.2999999998</v>
      </c>
      <c r="D115" s="86">
        <f>SUM(D109:D114)</f>
        <v>0</v>
      </c>
      <c r="E115" s="86">
        <f>SUM(E109:E114)</f>
        <v>226968.24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466220.93999999994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875923.4</v>
      </c>
      <c r="D119" s="24" t="s">
        <v>289</v>
      </c>
      <c r="E119" s="95">
        <f>+('DOE25'!L282)+('DOE25'!L301)+('DOE25'!L320)</f>
        <v>25445.440000000002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553078.47000000009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614828.66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1304753.8400000001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461534.49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237482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4276339.8000000007</v>
      </c>
      <c r="D128" s="86">
        <f>SUM(D118:D127)</f>
        <v>237482</v>
      </c>
      <c r="E128" s="86">
        <f>SUM(E118:E127)</f>
        <v>25445.440000000002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809522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166514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1631153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-1581153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1026036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13412806.100000001</v>
      </c>
      <c r="D145" s="86">
        <f>(D115+D128+D144)</f>
        <v>237482</v>
      </c>
      <c r="E145" s="86">
        <f>(E115+E128+E144)</f>
        <v>252413.68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11362231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3747029.21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3747029.21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2937507.21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2937507.21</v>
      </c>
    </row>
    <row r="160" spans="1:9" x14ac:dyDescent="0.2">
      <c r="A160" s="22" t="s">
        <v>36</v>
      </c>
      <c r="B160" s="137">
        <f>'DOE25'!F499</f>
        <v>327529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327529</v>
      </c>
    </row>
    <row r="161" spans="1:7" x14ac:dyDescent="0.2">
      <c r="A161" s="22" t="s">
        <v>37</v>
      </c>
      <c r="B161" s="137">
        <f>'DOE25'!F500</f>
        <v>3265036.21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3265036.21</v>
      </c>
    </row>
    <row r="162" spans="1:7" x14ac:dyDescent="0.2">
      <c r="A162" s="22" t="s">
        <v>38</v>
      </c>
      <c r="B162" s="137">
        <f>'DOE25'!F501</f>
        <v>842062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842062</v>
      </c>
    </row>
    <row r="163" spans="1:7" x14ac:dyDescent="0.2">
      <c r="A163" s="22" t="s">
        <v>39</v>
      </c>
      <c r="B163" s="137">
        <f>'DOE25'!F502</f>
        <v>133974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133974</v>
      </c>
    </row>
    <row r="164" spans="1:7" x14ac:dyDescent="0.2">
      <c r="A164" s="22" t="s">
        <v>246</v>
      </c>
      <c r="B164" s="137">
        <f>'DOE25'!F503</f>
        <v>976036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976036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2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Moultonborough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21253</v>
      </c>
    </row>
    <row r="5" spans="1:4" x14ac:dyDescent="0.2">
      <c r="B5" t="s">
        <v>704</v>
      </c>
      <c r="C5" s="179">
        <f>IF('DOE25'!G665+'DOE25'!G670=0,0,ROUND('DOE25'!G672,0))</f>
        <v>24685</v>
      </c>
    </row>
    <row r="6" spans="1:4" x14ac:dyDescent="0.2">
      <c r="B6" t="s">
        <v>62</v>
      </c>
      <c r="C6" s="179">
        <f>IF('DOE25'!H665+'DOE25'!H670=0,0,ROUND('DOE25'!H672,0))</f>
        <v>22390</v>
      </c>
    </row>
    <row r="7" spans="1:4" x14ac:dyDescent="0.2">
      <c r="B7" t="s">
        <v>705</v>
      </c>
      <c r="C7" s="179">
        <f>IF('DOE25'!I665+'DOE25'!I670=0,0,ROUND('DOE25'!I672,0))</f>
        <v>22213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5384684</v>
      </c>
      <c r="D10" s="182">
        <f>ROUND((C10/$C$28)*100,1)</f>
        <v>41.8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2598269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70272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284174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466221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901369</v>
      </c>
      <c r="D16" s="182">
        <f t="shared" si="0"/>
        <v>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553078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614829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1304754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461534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166514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89620.739999999991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12895318.74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12895318.74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809522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5726107</v>
      </c>
      <c r="D35" s="182">
        <f t="shared" ref="D35:D40" si="1">ROUND((C35/$C$41)*100,1)</f>
        <v>37.4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1602926.9800000004</v>
      </c>
      <c r="D36" s="182">
        <f t="shared" si="1"/>
        <v>10.5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7112655</v>
      </c>
      <c r="D37" s="182">
        <f t="shared" si="1"/>
        <v>46.5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332738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537413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15311839.98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Moultonborough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3" t="s">
        <v>913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 t="s">
        <v>914</v>
      </c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 t="s">
        <v>915</v>
      </c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  <mergeCell ref="C90:M90"/>
    <mergeCell ref="C83:M83"/>
    <mergeCell ref="C84:M84"/>
    <mergeCell ref="C85:M85"/>
    <mergeCell ref="C86:M86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BC31:BM31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BC40:BM40"/>
    <mergeCell ref="CP38:CZ38"/>
    <mergeCell ref="BC38:BM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EP39:EZ39"/>
    <mergeCell ref="FC39:FM39"/>
    <mergeCell ref="FP39:FZ39"/>
    <mergeCell ref="GP39:GZ39"/>
    <mergeCell ref="HP38:HZ38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P39:Z39"/>
    <mergeCell ref="AC39:AM39"/>
    <mergeCell ref="AP39:AZ39"/>
    <mergeCell ref="HP39:HZ39"/>
    <mergeCell ref="DC40:DM40"/>
    <mergeCell ref="EP40:EZ40"/>
    <mergeCell ref="IP39:IV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P40: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2014-10-09T15:52:28Z</cp:lastPrinted>
  <dcterms:created xsi:type="dcterms:W3CDTF">1997-12-04T19:04:30Z</dcterms:created>
  <dcterms:modified xsi:type="dcterms:W3CDTF">2014-12-05T17:15:53Z</dcterms:modified>
</cp:coreProperties>
</file>