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F472" i="1" l="1"/>
  <c r="H205" i="1"/>
  <c r="H28" i="1"/>
  <c r="H22" i="1"/>
  <c r="F9" i="1"/>
  <c r="F12" i="1"/>
  <c r="H604" i="1"/>
  <c r="H358" i="1"/>
  <c r="G358" i="1"/>
  <c r="F358" i="1"/>
  <c r="J468" i="1"/>
  <c r="J179" i="1"/>
  <c r="J96" i="1"/>
  <c r="H472" i="1" l="1"/>
  <c r="H468" i="1"/>
  <c r="H526" i="1" l="1"/>
  <c r="H523" i="1"/>
  <c r="H521" i="1"/>
  <c r="G521" i="1"/>
  <c r="F521" i="1"/>
  <c r="H282" i="1"/>
  <c r="G282" i="1"/>
  <c r="J276" i="1"/>
  <c r="I276" i="1"/>
  <c r="F276" i="1"/>
  <c r="G276" i="1"/>
  <c r="H244" i="1"/>
  <c r="H226" i="1"/>
  <c r="J197" i="1"/>
  <c r="I203" i="1"/>
  <c r="I202" i="1"/>
  <c r="H208" i="1"/>
  <c r="H204" i="1"/>
  <c r="H202" i="1"/>
  <c r="G204" i="1"/>
  <c r="G200" i="1"/>
  <c r="F204" i="1"/>
  <c r="F200" i="1"/>
  <c r="F11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E13" i="13" s="1"/>
  <c r="C13" i="13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G649" i="1" s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L283" i="1"/>
  <c r="L284" i="1"/>
  <c r="L285" i="1"/>
  <c r="E122" i="2" s="1"/>
  <c r="L286" i="1"/>
  <c r="L287" i="1"/>
  <c r="L288" i="1"/>
  <c r="L295" i="1"/>
  <c r="E109" i="2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1" i="10"/>
  <c r="C12" i="10"/>
  <c r="C13" i="10"/>
  <c r="L250" i="1"/>
  <c r="L332" i="1"/>
  <c r="L254" i="1"/>
  <c r="C25" i="10"/>
  <c r="L268" i="1"/>
  <c r="L269" i="1"/>
  <c r="L349" i="1"/>
  <c r="L350" i="1"/>
  <c r="I665" i="1"/>
  <c r="I670" i="1"/>
  <c r="F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K550" i="1" s="1"/>
  <c r="L528" i="1"/>
  <c r="G551" i="1" s="1"/>
  <c r="K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D31" i="2" s="1"/>
  <c r="E27" i="2"/>
  <c r="E31" i="2" s="1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C119" i="2"/>
  <c r="E120" i="2"/>
  <c r="E121" i="2"/>
  <c r="C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G624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H338" i="1" s="1"/>
  <c r="H352" i="1" s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640" i="1" s="1"/>
  <c r="H461" i="1"/>
  <c r="F470" i="1"/>
  <c r="G470" i="1"/>
  <c r="G476" i="1" s="1"/>
  <c r="H623" i="1" s="1"/>
  <c r="J623" i="1" s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J524" i="1"/>
  <c r="K524" i="1"/>
  <c r="F529" i="1"/>
  <c r="G529" i="1"/>
  <c r="H529" i="1"/>
  <c r="I529" i="1"/>
  <c r="I545" i="1" s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J639" i="1" s="1"/>
  <c r="G641" i="1"/>
  <c r="H641" i="1"/>
  <c r="G643" i="1"/>
  <c r="H643" i="1"/>
  <c r="G644" i="1"/>
  <c r="G650" i="1"/>
  <c r="G652" i="1"/>
  <c r="H652" i="1"/>
  <c r="G653" i="1"/>
  <c r="H653" i="1"/>
  <c r="G654" i="1"/>
  <c r="H654" i="1"/>
  <c r="H655" i="1"/>
  <c r="J655" i="1" s="1"/>
  <c r="L256" i="1"/>
  <c r="K257" i="1"/>
  <c r="K271" i="1" s="1"/>
  <c r="G164" i="2"/>
  <c r="C26" i="10"/>
  <c r="L328" i="1"/>
  <c r="L351" i="1"/>
  <c r="A31" i="12"/>
  <c r="D62" i="2"/>
  <c r="D63" i="2" s="1"/>
  <c r="D18" i="13"/>
  <c r="C18" i="13" s="1"/>
  <c r="D18" i="2"/>
  <c r="D17" i="13"/>
  <c r="C17" i="13" s="1"/>
  <c r="C91" i="2"/>
  <c r="F78" i="2"/>
  <c r="F81" i="2" s="1"/>
  <c r="C78" i="2"/>
  <c r="D50" i="2"/>
  <c r="G157" i="2"/>
  <c r="F18" i="2"/>
  <c r="G161" i="2"/>
  <c r="G156" i="2"/>
  <c r="E103" i="2"/>
  <c r="D91" i="2"/>
  <c r="D19" i="13"/>
  <c r="C19" i="13" s="1"/>
  <c r="E78" i="2"/>
  <c r="E81" i="2" s="1"/>
  <c r="L427" i="1"/>
  <c r="J641" i="1"/>
  <c r="J571" i="1"/>
  <c r="K571" i="1"/>
  <c r="L433" i="1"/>
  <c r="D81" i="2"/>
  <c r="I169" i="1"/>
  <c r="H169" i="1"/>
  <c r="J643" i="1"/>
  <c r="J476" i="1"/>
  <c r="H626" i="1" s="1"/>
  <c r="H476" i="1"/>
  <c r="H624" i="1" s="1"/>
  <c r="I476" i="1"/>
  <c r="H625" i="1" s="1"/>
  <c r="J625" i="1" s="1"/>
  <c r="J140" i="1"/>
  <c r="F571" i="1"/>
  <c r="I552" i="1"/>
  <c r="G22" i="2"/>
  <c r="K545" i="1"/>
  <c r="C29" i="10"/>
  <c r="H140" i="1"/>
  <c r="L401" i="1"/>
  <c r="C139" i="2" s="1"/>
  <c r="L393" i="1"/>
  <c r="F22" i="13"/>
  <c r="H25" i="13"/>
  <c r="C25" i="13" s="1"/>
  <c r="H571" i="1"/>
  <c r="L560" i="1"/>
  <c r="J545" i="1"/>
  <c r="H192" i="1"/>
  <c r="C35" i="10"/>
  <c r="E16" i="13"/>
  <c r="C16" i="13" s="1"/>
  <c r="L570" i="1"/>
  <c r="I571" i="1"/>
  <c r="J636" i="1"/>
  <c r="G36" i="2"/>
  <c r="L565" i="1"/>
  <c r="C22" i="13"/>
  <c r="C138" i="2"/>
  <c r="H33" i="13"/>
  <c r="A40" i="12" l="1"/>
  <c r="A13" i="12"/>
  <c r="J634" i="1"/>
  <c r="H661" i="1"/>
  <c r="D29" i="13"/>
  <c r="C29" i="13" s="1"/>
  <c r="F661" i="1"/>
  <c r="L362" i="1"/>
  <c r="D127" i="2"/>
  <c r="D128" i="2" s="1"/>
  <c r="D145" i="2"/>
  <c r="G645" i="1"/>
  <c r="J640" i="1"/>
  <c r="H408" i="1"/>
  <c r="H644" i="1" s="1"/>
  <c r="J644" i="1" s="1"/>
  <c r="F476" i="1"/>
  <c r="H622" i="1" s="1"/>
  <c r="J649" i="1"/>
  <c r="K598" i="1"/>
  <c r="G647" i="1" s="1"/>
  <c r="J647" i="1" s="1"/>
  <c r="L534" i="1"/>
  <c r="K549" i="1"/>
  <c r="K552" i="1" s="1"/>
  <c r="L544" i="1"/>
  <c r="H545" i="1"/>
  <c r="G552" i="1"/>
  <c r="L529" i="1"/>
  <c r="F552" i="1"/>
  <c r="L524" i="1"/>
  <c r="G408" i="1"/>
  <c r="H645" i="1" s="1"/>
  <c r="J338" i="1"/>
  <c r="J352" i="1" s="1"/>
  <c r="L309" i="1"/>
  <c r="L338" i="1" s="1"/>
  <c r="L352" i="1" s="1"/>
  <c r="G633" i="1" s="1"/>
  <c r="J633" i="1" s="1"/>
  <c r="G338" i="1"/>
  <c r="G352" i="1" s="1"/>
  <c r="F338" i="1"/>
  <c r="F352" i="1" s="1"/>
  <c r="C19" i="10"/>
  <c r="E128" i="2"/>
  <c r="C16" i="10"/>
  <c r="L290" i="1"/>
  <c r="K338" i="1"/>
  <c r="K352" i="1" s="1"/>
  <c r="E115" i="2"/>
  <c r="E145" i="2" s="1"/>
  <c r="G651" i="1"/>
  <c r="J651" i="1" s="1"/>
  <c r="L247" i="1"/>
  <c r="H660" i="1" s="1"/>
  <c r="D15" i="13"/>
  <c r="C15" i="13" s="1"/>
  <c r="H647" i="1"/>
  <c r="C124" i="2"/>
  <c r="C21" i="10"/>
  <c r="G662" i="1"/>
  <c r="I662" i="1" s="1"/>
  <c r="L229" i="1"/>
  <c r="H257" i="1"/>
  <c r="H271" i="1" s="1"/>
  <c r="C110" i="2"/>
  <c r="C10" i="10"/>
  <c r="D12" i="13"/>
  <c r="C12" i="13" s="1"/>
  <c r="D7" i="13"/>
  <c r="C7" i="13" s="1"/>
  <c r="C17" i="10"/>
  <c r="C15" i="10"/>
  <c r="E8" i="13"/>
  <c r="C8" i="13" s="1"/>
  <c r="C109" i="2"/>
  <c r="C115" i="2" s="1"/>
  <c r="D14" i="13"/>
  <c r="C14" i="13" s="1"/>
  <c r="C123" i="2"/>
  <c r="C121" i="2"/>
  <c r="C120" i="2"/>
  <c r="D6" i="13"/>
  <c r="C6" i="13" s="1"/>
  <c r="L211" i="1"/>
  <c r="D5" i="13"/>
  <c r="C5" i="13" s="1"/>
  <c r="C81" i="2"/>
  <c r="F112" i="1"/>
  <c r="C62" i="2"/>
  <c r="C63" i="2" s="1"/>
  <c r="H112" i="1"/>
  <c r="H193" i="1" s="1"/>
  <c r="G629" i="1" s="1"/>
  <c r="J629" i="1" s="1"/>
  <c r="J624" i="1"/>
  <c r="H52" i="1"/>
  <c r="H619" i="1" s="1"/>
  <c r="J619" i="1" s="1"/>
  <c r="J622" i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E104" i="2"/>
  <c r="I663" i="1"/>
  <c r="C27" i="10"/>
  <c r="G635" i="1"/>
  <c r="J635" i="1" s="1"/>
  <c r="H648" i="1" l="1"/>
  <c r="J648" i="1" s="1"/>
  <c r="H664" i="1"/>
  <c r="H667" i="1" s="1"/>
  <c r="I661" i="1"/>
  <c r="J645" i="1"/>
  <c r="L545" i="1"/>
  <c r="H646" i="1"/>
  <c r="J646" i="1" s="1"/>
  <c r="G660" i="1"/>
  <c r="G664" i="1" s="1"/>
  <c r="G667" i="1" s="1"/>
  <c r="D31" i="13"/>
  <c r="C31" i="13" s="1"/>
  <c r="L257" i="1"/>
  <c r="L271" i="1" s="1"/>
  <c r="G632" i="1" s="1"/>
  <c r="J632" i="1" s="1"/>
  <c r="H672" i="1"/>
  <c r="C6" i="10" s="1"/>
  <c r="C28" i="10"/>
  <c r="D22" i="10" s="1"/>
  <c r="E33" i="13"/>
  <c r="D35" i="13" s="1"/>
  <c r="C128" i="2"/>
  <c r="C145" i="2" s="1"/>
  <c r="F660" i="1"/>
  <c r="F664" i="1" s="1"/>
  <c r="F672" i="1" s="1"/>
  <c r="C4" i="10" s="1"/>
  <c r="C104" i="2"/>
  <c r="F193" i="1"/>
  <c r="G627" i="1" s="1"/>
  <c r="J627" i="1" s="1"/>
  <c r="C36" i="10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D33" i="13"/>
  <c r="D36" i="13" s="1"/>
  <c r="D27" i="10"/>
  <c r="D18" i="10"/>
  <c r="D17" i="10"/>
  <c r="D12" i="10"/>
  <c r="D24" i="10"/>
  <c r="D10" i="10"/>
  <c r="D26" i="10"/>
  <c r="C30" i="10"/>
  <c r="D16" i="10"/>
  <c r="D23" i="10"/>
  <c r="D20" i="10"/>
  <c r="D15" i="10"/>
  <c r="D25" i="10"/>
  <c r="D19" i="10"/>
  <c r="D13" i="10"/>
  <c r="D11" i="10"/>
  <c r="D21" i="10"/>
  <c r="F667" i="1"/>
  <c r="I660" i="1"/>
  <c r="I664" i="1" s="1"/>
  <c r="I672" i="1" s="1"/>
  <c r="C7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<sst xmlns="http://schemas.openxmlformats.org/spreadsheetml/2006/main" count="3954" uniqueCount="912">
  <si>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</si>
  <si>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</si>
  <si>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</si>
  <si>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</si>
  <si>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</si>
  <si>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</si>
  <si>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</si>
  <si>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</si>
  <si>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</si>
  <si>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</si>
  <si>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</si>
  <si>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</si>
  <si>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</si>
  <si>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</si>
  <si>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</si>
  <si>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</si>
  <si>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</si>
  <si>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</si>
  <si>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</si>
  <si>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</si>
  <si>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</si>
  <si>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</si>
  <si>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</si>
  <si>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</si>
  <si>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</si>
  <si>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</si>
  <si>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</si>
  <si>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</si>
  <si>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</si>
  <si>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</si>
  <si>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</si>
  <si>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</si>
  <si>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</si>
  <si>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</si>
  <si>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</si>
  <si>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</si>
  <si>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</si>
  <si>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</si>
  <si>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</si>
  <si>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</si>
  <si>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</si>
  <si>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</si>
  <si>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</si>
  <si>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</si>
  <si>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</si>
  <si>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</si>
  <si>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</si>
  <si>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</si>
  <si>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</si>
  <si>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</si>
  <si>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</si>
  <si>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</si>
  <si>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</si>
  <si>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</si>
  <si>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</si>
  <si>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</si>
  <si>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</si>
  <si>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</si>
  <si>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</si>
  <si>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</si>
  <si>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</si>
  <si>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</si>
  <si>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</si>
  <si>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</si>
  <si>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</si>
  <si>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</si>
  <si>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</si>
  <si>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</si>
  <si>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</si>
  <si>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</si>
  <si>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</si>
  <si>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</si>
  <si>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</si>
  <si>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</si>
  <si>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</si>
  <si>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</si>
  <si>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</si>
  <si>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</si>
  <si>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</si>
  <si>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</si>
  <si>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</si>
  <si>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</si>
  <si>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</si>
  <si>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</si>
  <si>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</si>
  <si>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</si>
  <si>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</si>
  <si>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</si>
  <si>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</si>
  <si>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</si>
  <si>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</si>
  <si>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</si>
  <si>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</si>
  <si>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</si>
  <si>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</si>
  <si>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</si>
  <si>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</si>
  <si>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</si>
  <si>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</si>
  <si>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</si>
  <si>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</si>
  <si>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</si>
  <si>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</si>
  <si>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</si>
  <si>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</si>
  <si>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</si>
  <si>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</si>
  <si>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</si>
  <si>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</si>
  <si>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</si>
  <si>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</si>
  <si>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</si>
  <si>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</si>
  <si>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</si>
  <si>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</si>
  <si>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</si>
  <si>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</si>
  <si>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</si>
  <si>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</si>
  <si>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</si>
  <si>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</si>
  <si>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</si>
  <si>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</si>
  <si>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</si>
  <si>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</si>
  <si>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</si>
  <si>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</si>
  <si>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</si>
  <si>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</si>
  <si>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</si>
  <si>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</si>
  <si>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</si>
  <si>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</si>
  <si>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</si>
  <si>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</si>
  <si>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</si>
  <si>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</si>
  <si>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</si>
  <si>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</si>
  <si>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</si>
  <si>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</si>
  <si>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</si>
  <si>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</si>
  <si>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</si>
  <si>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</si>
  <si>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</si>
  <si>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</si>
  <si>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</si>
  <si>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</si>
  <si>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</si>
  <si>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</si>
  <si>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</si>
  <si>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</si>
  <si>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</si>
  <si>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</si>
  <si>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</si>
  <si>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</si>
  <si>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</si>
  <si>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</si>
  <si>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</si>
  <si>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</si>
  <si>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</si>
  <si>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</si>
  <si>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</si>
  <si>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</si>
  <si>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</si>
  <si>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</si>
  <si>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</si>
  <si>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</si>
  <si>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</si>
  <si>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</si>
  <si>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</si>
  <si>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</si>
  <si>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</si>
  <si>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</si>
  <si>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</si>
  <si>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</si>
  <si>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</si>
  <si>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</si>
  <si>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</si>
  <si>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</si>
  <si>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</si>
  <si>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</si>
  <si>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</si>
  <si>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</si>
  <si>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</si>
  <si>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</si>
  <si>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</si>
  <si>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</si>
  <si>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</si>
  <si>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</si>
  <si>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</si>
  <si>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</si>
  <si>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</si>
  <si>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</si>
  <si>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</si>
  <si>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</si>
  <si>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</si>
  <si>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</si>
  <si>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</si>
  <si>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</si>
  <si>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</si>
  <si>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</si>
  <si>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</si>
  <si>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</si>
  <si>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</si>
  <si>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</si>
  <si>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</si>
  <si>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</si>
  <si>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</si>
  <si>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</si>
  <si>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</si>
  <si>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</si>
  <si>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</si>
  <si>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</si>
  <si>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</si>
  <si>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</si>
  <si>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</si>
  <si>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</si>
  <si>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</si>
  <si>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</si>
  <si>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</si>
  <si>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</si>
  <si>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</si>
  <si>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</si>
  <si>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</si>
  <si>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</si>
  <si>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</si>
  <si>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</si>
  <si>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</si>
  <si>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</si>
  <si>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</si>
  <si>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</si>
  <si>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</si>
  <si>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</si>
  <si>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</si>
  <si>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</si>
  <si>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</si>
  <si>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</si>
  <si>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</si>
  <si>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</si>
  <si>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</si>
  <si>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</si>
  <si>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</si>
  <si>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</si>
  <si>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</si>
  <si>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</si>
  <si>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</si>
  <si>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</si>
  <si>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</si>
  <si>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</si>
  <si>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</si>
  <si>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</si>
  <si>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</si>
  <si>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</si>
  <si>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</si>
  <si>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</si>
  <si>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</si>
  <si>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</si>
  <si>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</si>
  <si>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</si>
  <si>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</si>
  <si>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</si>
  <si>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</si>
  <si>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</si>
  <si>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</si>
  <si>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</si>
  <si>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</si>
  <si>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</si>
  <si>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</si>
  <si>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</si>
  <si>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</si>
  <si>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</si>
  <si>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</si>
  <si>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</si>
  <si>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</si>
  <si>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</si>
  <si>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</si>
  <si>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</si>
  <si>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</si>
  <si>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</si>
  <si>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</si>
  <si>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</si>
  <si>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</si>
  <si>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</si>
  <si>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</si>
  <si>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</si>
  <si>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</si>
  <si>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</si>
  <si>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</si>
  <si>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</si>
  <si>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</si>
  <si>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</si>
  <si>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</si>
  <si>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</si>
  <si>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</si>
  <si>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</si>
  <si>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</si>
  <si>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</si>
  <si>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</si>
  <si>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</si>
  <si>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</si>
  <si>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</si>
  <si>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</si>
  <si>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</si>
  <si>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</si>
  <si>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</si>
  <si>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</si>
  <si>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</si>
  <si>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</si>
  <si>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</si>
  <si>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</si>
  <si>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</si>
  <si>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</si>
  <si>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</si>
  <si>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</si>
  <si>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</si>
  <si>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</si>
  <si>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</si>
  <si>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</si>
  <si>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</si>
  <si>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</si>
  <si>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</si>
  <si>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</si>
  <si>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</si>
  <si>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</si>
  <si>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</si>
  <si>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</si>
  <si>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</si>
  <si>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</si>
  <si>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</si>
  <si>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</si>
  <si>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</si>
  <si>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</si>
  <si>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</si>
  <si>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</si>
  <si>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</si>
  <si>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</si>
  <si>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</si>
  <si>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</si>
  <si>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</si>
  <si>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</si>
  <si>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</si>
  <si>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</si>
  <si>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</si>
  <si>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</si>
  <si>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</si>
  <si>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</si>
  <si>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</si>
  <si>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</si>
  <si>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</si>
  <si>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</si>
  <si>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</si>
  <si>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</si>
  <si>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</si>
  <si>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</si>
  <si>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</si>
  <si>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</si>
  <si>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</si>
  <si>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</si>
  <si>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</si>
  <si>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</si>
  <si>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</si>
  <si>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</si>
  <si>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</si>
  <si>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</si>
  <si>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</si>
  <si>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</si>
  <si>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</si>
  <si>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</si>
  <si>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</si>
  <si>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</si>
  <si>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</si>
  <si>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</si>
  <si>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</si>
  <si>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</si>
  <si>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</si>
  <si>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</si>
  <si>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</si>
  <si>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</si>
  <si>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</si>
  <si>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</si>
  <si>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</si>
  <si>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</si>
  <si>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</si>
  <si>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</si>
  <si>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</si>
  <si>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</si>
  <si>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</si>
  <si>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</si>
  <si>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</si>
  <si>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</si>
  <si>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</si>
  <si>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</si>
  <si>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</si>
  <si>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</si>
  <si>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</si>
  <si>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</si>
  <si>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</si>
  <si>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</si>
  <si>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</si>
  <si>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</si>
  <si>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</si>
  <si>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</si>
  <si>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</si>
  <si>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</si>
  <si>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</si>
  <si>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</si>
  <si>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</si>
  <si>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</si>
  <si>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</si>
  <si>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</si>
  <si>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</si>
  <si>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</si>
  <si>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</si>
  <si>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</si>
  <si>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</si>
  <si>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</si>
  <si>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</si>
  <si>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</si>
  <si>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</si>
  <si>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</si>
  <si>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</si>
  <si>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</si>
  <si>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</si>
  <si>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</si>
  <si>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</si>
  <si>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</si>
  <si>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</si>
  <si>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</si>
  <si>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</si>
  <si>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</si>
  <si>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</si>
  <si>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</si>
  <si>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</si>
  <si>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</si>
  <si>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</si>
  <si>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</si>
  <si>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</si>
  <si>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</si>
  <si>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</si>
  <si>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</si>
  <si>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</si>
  <si>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</si>
  <si>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</si>
  <si>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</si>
  <si>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</si>
  <si>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</si>
  <si>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</si>
  <si>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</si>
  <si>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</si>
  <si>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</si>
  <si>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</si>
  <si>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</si>
  <si>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</si>
  <si>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</si>
  <si>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</si>
  <si>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</si>
  <si>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</si>
  <si>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</si>
  <si>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</si>
  <si>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</si>
  <si>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</si>
  <si>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</si>
  <si>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</si>
  <si>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</si>
  <si>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</si>
  <si>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</si>
  <si>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</si>
  <si>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</si>
  <si>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</si>
  <si>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</si>
  <si>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</si>
  <si>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</si>
  <si>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</si>
  <si>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</si>
  <si>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</si>
  <si>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</si>
  <si>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</si>
  <si>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</si>
  <si>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</si>
  <si>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</si>
  <si>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</si>
  <si>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</si>
  <si>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</si>
  <si>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</si>
  <si>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</si>
  <si>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</si>
  <si>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</si>
  <si>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</si>
  <si>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</si>
  <si>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</si>
  <si>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</si>
  <si>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</si>
  <si>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</si>
  <si>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</si>
  <si>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</si>
  <si>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</si>
  <si>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</si>
  <si>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</si>
  <si>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</si>
  <si>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</si>
  <si>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</si>
  <si>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</si>
  <si>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</si>
  <si>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</si>
  <si>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</si>
  <si>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</si>
  <si>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</si>
  <si>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</si>
  <si>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</si>
  <si>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</si>
  <si>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</si>
  <si>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</si>
  <si>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</si>
  <si>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</si>
  <si>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</si>
  <si>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</si>
  <si>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</si>
  <si>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</si>
  <si>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</si>
  <si>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</si>
  <si>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</si>
  <si>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</si>
  <si>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</si>
  <si>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</si>
  <si>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</si>
  <si>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</si>
  <si>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</si>
  <si>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</si>
  <si>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</si>
  <si>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</si>
  <si>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</si>
  <si>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</si>
  <si>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</si>
  <si>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</si>
  <si>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</si>
  <si>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</si>
  <si>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</si>
  <si>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</si>
  <si>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</si>
  <si>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</si>
  <si>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</si>
  <si>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</si>
  <si>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</si>
  <si>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</si>
  <si>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</si>
  <si>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</si>
  <si>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</si>
  <si>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</si>
  <si>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</si>
  <si>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</si>
  <si>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</si>
  <si>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</si>
  <si>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</si>
  <si>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</si>
  <si>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</si>
  <si>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</si>
  <si>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</si>
  <si>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</si>
  <si>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</si>
  <si>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</si>
  <si>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</si>
  <si>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</si>
  <si>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</si>
  <si>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</si>
  <si>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</si>
  <si>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</si>
  <si>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</si>
  <si>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</si>
  <si>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</si>
  <si>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</si>
  <si>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</si>
  <si>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</si>
  <si>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</si>
  <si>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</si>
  <si>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</si>
  <si>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</si>
  <si>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</si>
  <si>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</si>
  <si>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</si>
  <si>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</si>
  <si>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</si>
  <si>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</si>
  <si>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</si>
  <si>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</si>
  <si>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</si>
  <si>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</si>
  <si>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</si>
  <si>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</si>
  <si>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</si>
  <si>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</si>
  <si>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</si>
  <si>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</si>
  <si>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</si>
  <si>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</si>
  <si>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</si>
  <si>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</si>
  <si>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</si>
  <si>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</si>
  <si>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</si>
  <si>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</si>
  <si>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</si>
  <si>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</si>
  <si>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</si>
  <si>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</si>
  <si>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</si>
  <si>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</si>
  <si>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</si>
  <si>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</si>
  <si>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</si>
  <si>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</si>
  <si>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</si>
  <si>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</si>
  <si>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</si>
  <si>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</si>
  <si>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</si>
  <si>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</si>
  <si>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</si>
  <si>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</si>
  <si>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</si>
  <si>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</si>
  <si>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</si>
  <si>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</si>
  <si>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</si>
  <si>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</si>
  <si>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</si>
  <si>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</si>
  <si>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</si>
  <si>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</si>
  <si>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</si>
  <si>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</si>
  <si>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</si>
  <si>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</si>
  <si>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</si>
  <si>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</si>
  <si>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</si>
  <si>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</si>
  <si>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</si>
  <si>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</si>
  <si>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</si>
  <si>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</si>
  <si>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</si>
  <si>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</si>
  <si>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</si>
  <si>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</si>
  <si>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</si>
  <si>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</si>
  <si>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</si>
  <si>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</si>
  <si>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</si>
  <si>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</si>
  <si>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</si>
  <si>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</si>
  <si>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</si>
  <si>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</si>
  <si>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</si>
  <si>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</si>
  <si>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</si>
  <si>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</si>
  <si>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</si>
  <si>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</si>
  <si>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</si>
  <si>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</si>
  <si>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</si>
  <si>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</si>
  <si>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</si>
  <si>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</si>
  <si>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</si>
  <si>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</si>
  <si>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</si>
  <si>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</si>
  <si>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</si>
  <si>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</si>
  <si>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</si>
  <si>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</si>
  <si>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</si>
  <si>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</si>
  <si>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</si>
  <si>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</si>
  <si>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</si>
  <si>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</si>
  <si>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</si>
  <si>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</si>
  <si>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</si>
  <si>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</si>
  <si>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</si>
  <si>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</si>
  <si>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</si>
  <si>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</si>
  <si>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</si>
  <si>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</si>
  <si>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</si>
  <si>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</si>
  <si>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</si>
  <si>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</si>
  <si>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</si>
  <si>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</si>
  <si>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</si>
  <si>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</si>
  <si>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</si>
  <si>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</si>
  <si>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</si>
  <si>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</si>
  <si>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</si>
  <si>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</si>
  <si>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</si>
  <si>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</si>
  <si>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</si>
  <si>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</si>
  <si>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</si>
  <si>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</si>
  <si>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</si>
  <si>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</si>
  <si>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</si>
  <si>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</si>
  <si>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</si>
  <si>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</si>
  <si>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</si>
  <si>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</si>
  <si>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</si>
  <si>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</si>
  <si>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</si>
  <si>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</si>
  <si>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</si>
  <si>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</si>
  <si>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</si>
  <si>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</si>
  <si>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</si>
  <si>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</si>
  <si>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</si>
  <si>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</si>
  <si>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</si>
  <si>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</si>
  <si>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</si>
  <si>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</si>
  <si>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</si>
  <si>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</si>
  <si>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</si>
  <si>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</si>
  <si>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</si>
  <si>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</si>
  <si>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</si>
  <si>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</si>
  <si>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</si>
  <si>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</si>
  <si>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</si>
  <si>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</si>
  <si>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</si>
  <si>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</si>
  <si>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</si>
  <si>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</si>
  <si>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</si>
  <si>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</si>
  <si>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</si>
  <si>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</si>
  <si>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</si>
  <si>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</si>
  <si>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</si>
  <si>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</si>
  <si>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</si>
  <si>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</si>
  <si>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</si>
  <si>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</si>
  <si>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</si>
  <si>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</si>
  <si>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</si>
  <si>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</si>
  <si>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</si>
  <si>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</si>
  <si>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</si>
  <si>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</si>
  <si>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</si>
  <si>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</si>
  <si>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</si>
  <si>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</si>
  <si>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</si>
  <si>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</si>
  <si>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</si>
  <si>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</si>
  <si>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</si>
  <si>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</si>
  <si>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</si>
  <si>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</si>
  <si>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</si>
  <si>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</si>
  <si>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</si>
  <si>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</si>
  <si>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</si>
  <si>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</si>
  <si>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</si>
  <si>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</si>
  <si>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</si>
  <si>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</si>
  <si>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</si>
  <si>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</si>
  <si>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</si>
  <si>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</si>
  <si>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</si>
  <si>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</si>
  <si>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</si>
  <si>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</si>
  <si>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</si>
  <si>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</si>
  <si>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</si>
  <si>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</si>
  <si>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</si>
  <si>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</si>
  <si>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</si>
  <si>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</si>
  <si>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</si>
  <si>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</si>
  <si>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</si>
  <si>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</si>
  <si>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</si>
  <si>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</si>
  <si>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</si>
  <si>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</si>
  <si>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</si>
  <si>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</si>
  <si>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</si>
  <si>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</si>
  <si>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</si>
  <si>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</si>
  <si>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</si>
  <si>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</si>
  <si>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</si>
  <si>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</si>
  <si>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</si>
  <si>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</si>
  <si>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</si>
  <si>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</si>
  <si>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</si>
  <si>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</si>
  <si>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</si>
  <si>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</si>
  <si>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</si>
  <si>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</si>
  <si>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</si>
  <si>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</si>
  <si>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</si>
  <si>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</si>
  <si>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</si>
  <si>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</si>
  <si>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</si>
  <si>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</si>
  <si>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</si>
  <si>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</si>
  <si>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</si>
  <si>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</si>
  <si>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</si>
  <si>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</si>
  <si>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</si>
  <si>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</si>
  <si>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</si>
  <si>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</si>
  <si>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</si>
  <si>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</si>
  <si>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</si>
  <si>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</si>
  <si>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</si>
  <si>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</si>
  <si>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</si>
  <si>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</si>
  <si>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</si>
  <si>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</si>
  <si>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</si>
  <si>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</si>
  <si>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</si>
  <si>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</si>
  <si>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</si>
  <si>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</si>
  <si>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</si>
  <si>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</si>
  <si>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</si>
  <si>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</si>
  <si>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</si>
  <si>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</si>
  <si>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</si>
  <si>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</si>
  <si>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</si>
  <si>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</si>
  <si>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</si>
  <si>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</si>
  <si>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</si>
  <si>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</si>
  <si>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</si>
  <si>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</si>
  <si>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</si>
  <si>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</si>
  <si>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</si>
  <si>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</si>
  <si>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</si>
  <si>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</si>
  <si>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</si>
  <si>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</si>
  <si>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</si>
  <si>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</si>
  <si>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</si>
  <si>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</si>
  <si>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</si>
  <si>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</si>
  <si>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</si>
  <si>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</si>
  <si>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</si>
  <si>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</si>
  <si>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</si>
  <si>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</si>
  <si>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</si>
  <si>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</si>
  <si>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</si>
  <si>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NELSON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</si>
</sst>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115" activePane="bottomRight" state="frozen"/>
      <selection pane="topRight" activeCell="F1" sqref="F1"/>
      <selection pane="bottomLeft" activeCell="A4" sqref="A4"/>
      <selection pane="bottomRight" activeCell="F109" sqref="F10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375</v>
      </c>
      <c r="C2" s="21">
        <v>375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90193.05-15722.95</f>
        <v>74470.100000000006</v>
      </c>
      <c r="G9" s="18">
        <v>0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1000.17</v>
      </c>
      <c r="G10" s="18"/>
      <c r="H10" s="18"/>
      <c r="I10" s="18"/>
      <c r="J10" s="67">
        <f>SUM(I440)</f>
        <v>171576.63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7995.85+1324.77</f>
        <v>9320.6200000000008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15372.82</v>
      </c>
      <c r="G13" s="18"/>
      <c r="H13" s="18">
        <v>9371.6299999999992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1407.12</v>
      </c>
      <c r="G14" s="18"/>
      <c r="H14" s="18">
        <v>663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470.74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102041.56999999999</v>
      </c>
      <c r="G19" s="41">
        <f>SUM(G9:G18)</f>
        <v>0</v>
      </c>
      <c r="H19" s="41">
        <f>SUM(H9:H18)</f>
        <v>10034.629999999999</v>
      </c>
      <c r="I19" s="41">
        <f>SUM(I9:I18)</f>
        <v>0</v>
      </c>
      <c r="J19" s="41">
        <f>SUM(J9:J18)</f>
        <v>171576.63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/>
      <c r="H22" s="18">
        <f>7995.85+1324.77</f>
        <v>9320.6200000000008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1283.3800000000001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18091.78</v>
      </c>
      <c r="G24" s="18"/>
      <c r="H24" s="18">
        <v>40.11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1341.6</v>
      </c>
      <c r="G28" s="18">
        <v>0</v>
      </c>
      <c r="H28" s="18">
        <f>147.39+68.07</f>
        <v>215.45999999999998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1188.28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20716.759999999998</v>
      </c>
      <c r="G32" s="41">
        <f>SUM(G22:G31)</f>
        <v>0</v>
      </c>
      <c r="H32" s="41">
        <f>SUM(H22:H31)</f>
        <v>10764.470000000001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470.74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30000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300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-729.84</v>
      </c>
      <c r="I48" s="18"/>
      <c r="J48" s="13">
        <f>SUM(I459)</f>
        <v>171576.63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50554.07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81324.81</v>
      </c>
      <c r="G51" s="41">
        <f>SUM(G35:G50)</f>
        <v>0</v>
      </c>
      <c r="H51" s="41">
        <f>SUM(H35:H50)</f>
        <v>-729.84</v>
      </c>
      <c r="I51" s="41">
        <f>SUM(I35:I50)</f>
        <v>0</v>
      </c>
      <c r="J51" s="41">
        <f>SUM(J35:J50)</f>
        <v>171576.63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102041.56999999999</v>
      </c>
      <c r="G52" s="41">
        <f>G51+G32</f>
        <v>0</v>
      </c>
      <c r="H52" s="41">
        <f>H51+H32</f>
        <v>10034.630000000001</v>
      </c>
      <c r="I52" s="41">
        <f>I51+I32</f>
        <v>0</v>
      </c>
      <c r="J52" s="41">
        <f>J51+J32</f>
        <v>171576.63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996744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996744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>
        <v>11081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319856.32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10088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329944.32000000001</v>
      </c>
      <c r="G79" s="45" t="s">
        <v>289</v>
      </c>
      <c r="H79" s="41">
        <f>SUM(H63:H78)</f>
        <v>11081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135.97999999999999</v>
      </c>
      <c r="G96" s="18"/>
      <c r="H96" s="18"/>
      <c r="I96" s="18"/>
      <c r="J96" s="18">
        <f>15.78+24.18</f>
        <v>39.96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50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66220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12379.91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3262.98+4993.93</f>
        <v>8256.91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87042.8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39.96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1413731.12</v>
      </c>
      <c r="G112" s="41">
        <f>G60+G111</f>
        <v>0</v>
      </c>
      <c r="H112" s="41">
        <f>H60+H79+H94+H111</f>
        <v>11081</v>
      </c>
      <c r="I112" s="41">
        <f>I60+I111</f>
        <v>0</v>
      </c>
      <c r="J112" s="41">
        <f>J60+J111</f>
        <v>39.96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135552.76999999999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292023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427575.77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79116.53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79116.53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506692.30000000005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11842.2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4162.49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15390.13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8112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27921.88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27921.88</v>
      </c>
      <c r="G162" s="41">
        <f>SUM(G150:G161)</f>
        <v>0</v>
      </c>
      <c r="H162" s="41">
        <f>SUM(H150:H161)</f>
        <v>39506.82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27921.88</v>
      </c>
      <c r="G169" s="41">
        <f>G147+G162+SUM(G163:G168)</f>
        <v>0</v>
      </c>
      <c r="H169" s="41">
        <f>H147+H162+SUM(H163:H168)</f>
        <v>39506.82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4453.2700000000004</v>
      </c>
      <c r="H179" s="18"/>
      <c r="I179" s="18"/>
      <c r="J179" s="18">
        <f>15000+15000</f>
        <v>30000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4453.2700000000004</v>
      </c>
      <c r="H183" s="41">
        <f>SUM(H179:H182)</f>
        <v>0</v>
      </c>
      <c r="I183" s="41">
        <f>SUM(I179:I182)</f>
        <v>0</v>
      </c>
      <c r="J183" s="41">
        <f>SUM(J179:J182)</f>
        <v>30000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12535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12535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12535</v>
      </c>
      <c r="G192" s="41">
        <f>G183+SUM(G188:G191)</f>
        <v>4453.2700000000004</v>
      </c>
      <c r="H192" s="41">
        <f>+H183+SUM(H188:H191)</f>
        <v>0</v>
      </c>
      <c r="I192" s="41">
        <f>I177+I183+SUM(I188:I191)</f>
        <v>0</v>
      </c>
      <c r="J192" s="41">
        <f>J183</f>
        <v>30000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1960880.3</v>
      </c>
      <c r="G193" s="47">
        <f>G112+G140+G169+G192</f>
        <v>4453.2700000000004</v>
      </c>
      <c r="H193" s="47">
        <f>H112+H140+H169+H192</f>
        <v>50587.82</v>
      </c>
      <c r="I193" s="47">
        <f>I112+I140+I169+I192</f>
        <v>0</v>
      </c>
      <c r="J193" s="47">
        <f>J112+J140+J192</f>
        <v>30039.96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221183.89</v>
      </c>
      <c r="G197" s="18">
        <v>83504.289999999994</v>
      </c>
      <c r="H197" s="18">
        <v>24700.05</v>
      </c>
      <c r="I197" s="18">
        <v>13860.86</v>
      </c>
      <c r="J197" s="18">
        <f>4922.74</f>
        <v>4922.74</v>
      </c>
      <c r="K197" s="18">
        <v>512.66999999999996</v>
      </c>
      <c r="L197" s="19">
        <f>SUM(F197:K197)</f>
        <v>348684.49999999994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106359.73</v>
      </c>
      <c r="G198" s="18">
        <v>67310.37</v>
      </c>
      <c r="H198" s="18">
        <v>116239.12</v>
      </c>
      <c r="I198" s="18">
        <v>758</v>
      </c>
      <c r="J198" s="18"/>
      <c r="K198" s="18"/>
      <c r="L198" s="19">
        <f>SUM(F198:K198)</f>
        <v>290667.21999999997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1470+2455</f>
        <v>3925</v>
      </c>
      <c r="G200" s="18">
        <f>169.17+474.11</f>
        <v>643.28</v>
      </c>
      <c r="H200" s="18">
        <v>117.5</v>
      </c>
      <c r="I200" s="18">
        <v>49.95</v>
      </c>
      <c r="J200" s="18"/>
      <c r="K200" s="18"/>
      <c r="L200" s="19">
        <f>SUM(F200:K200)</f>
        <v>4735.7299999999996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5283.63</v>
      </c>
      <c r="G202" s="18">
        <v>424.83</v>
      </c>
      <c r="H202" s="18">
        <f>10392.72+36655.5+2662.5+27811.27+6875+6117.93</f>
        <v>90514.920000000013</v>
      </c>
      <c r="I202" s="18">
        <f>153.54+157.18</f>
        <v>310.72000000000003</v>
      </c>
      <c r="J202" s="18"/>
      <c r="K202" s="18"/>
      <c r="L202" s="19">
        <f t="shared" ref="L202:L208" si="0">SUM(F202:K202)</f>
        <v>96534.10000000002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>
        <v>1855.52</v>
      </c>
      <c r="I203" s="18">
        <f>537.53+2606.87</f>
        <v>3144.3999999999996</v>
      </c>
      <c r="J203" s="18"/>
      <c r="K203" s="18"/>
      <c r="L203" s="19">
        <f t="shared" si="0"/>
        <v>4999.92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1407.5+1750</f>
        <v>3157.5</v>
      </c>
      <c r="G204" s="18">
        <f>112.68+140.35</f>
        <v>253.03</v>
      </c>
      <c r="H204" s="18">
        <f>182.12+100+5750+9446.96+71654</f>
        <v>87133.08</v>
      </c>
      <c r="I204" s="18">
        <v>273.37</v>
      </c>
      <c r="J204" s="18"/>
      <c r="K204" s="18">
        <v>36</v>
      </c>
      <c r="L204" s="19">
        <f t="shared" si="0"/>
        <v>90852.98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99883.05</v>
      </c>
      <c r="G205" s="18">
        <v>44083.42</v>
      </c>
      <c r="H205" s="18">
        <f>10449.09+30.89</f>
        <v>10479.98</v>
      </c>
      <c r="I205" s="18">
        <v>1004.46</v>
      </c>
      <c r="J205" s="18">
        <v>3810</v>
      </c>
      <c r="K205" s="18"/>
      <c r="L205" s="19">
        <f t="shared" si="0"/>
        <v>159260.91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4233.92</v>
      </c>
      <c r="G207" s="18">
        <v>404.38</v>
      </c>
      <c r="H207" s="18">
        <v>49189.45</v>
      </c>
      <c r="I207" s="18">
        <v>20388.25</v>
      </c>
      <c r="J207" s="18"/>
      <c r="K207" s="18"/>
      <c r="L207" s="19">
        <f t="shared" si="0"/>
        <v>74216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28833.69+5072.45+647.94+21690</f>
        <v>56244.08</v>
      </c>
      <c r="I208" s="18"/>
      <c r="J208" s="18"/>
      <c r="K208" s="18"/>
      <c r="L208" s="19">
        <f t="shared" si="0"/>
        <v>56244.08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324.5</v>
      </c>
      <c r="I209" s="18"/>
      <c r="J209" s="18"/>
      <c r="K209" s="18"/>
      <c r="L209" s="19">
        <f>SUM(F209:K209)</f>
        <v>324.5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444026.72</v>
      </c>
      <c r="G211" s="41">
        <f t="shared" si="1"/>
        <v>196623.59999999998</v>
      </c>
      <c r="H211" s="41">
        <f t="shared" si="1"/>
        <v>436798.2</v>
      </c>
      <c r="I211" s="41">
        <f t="shared" si="1"/>
        <v>39790.009999999995</v>
      </c>
      <c r="J211" s="41">
        <f t="shared" si="1"/>
        <v>8732.74</v>
      </c>
      <c r="K211" s="41">
        <f t="shared" si="1"/>
        <v>548.66999999999996</v>
      </c>
      <c r="L211" s="41">
        <f t="shared" si="1"/>
        <v>1126519.94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125838.31</v>
      </c>
      <c r="I215" s="18"/>
      <c r="J215" s="18"/>
      <c r="K215" s="18"/>
      <c r="L215" s="19">
        <f>SUM(F215:K215)</f>
        <v>125838.31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80554.34</v>
      </c>
      <c r="I216" s="18"/>
      <c r="J216" s="18"/>
      <c r="K216" s="18"/>
      <c r="L216" s="19">
        <f>SUM(F216:K216)</f>
        <v>80554.34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13242+750+10845</f>
        <v>24837</v>
      </c>
      <c r="I226" s="18"/>
      <c r="J226" s="18"/>
      <c r="K226" s="18"/>
      <c r="L226" s="19">
        <f t="shared" si="2"/>
        <v>24837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231229.65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231229.65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233463.98</v>
      </c>
      <c r="I233" s="18"/>
      <c r="J233" s="18"/>
      <c r="K233" s="18"/>
      <c r="L233" s="19">
        <f>SUM(F233:K233)</f>
        <v>233463.98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264439.45</v>
      </c>
      <c r="I234" s="18"/>
      <c r="J234" s="18"/>
      <c r="K234" s="18"/>
      <c r="L234" s="19">
        <f>SUM(F234:K234)</f>
        <v>264439.45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13241+10845</f>
        <v>24086</v>
      </c>
      <c r="I244" s="18"/>
      <c r="J244" s="18"/>
      <c r="K244" s="18"/>
      <c r="L244" s="19">
        <f t="shared" si="4"/>
        <v>24086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521989.43000000005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521989.43000000005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444026.72</v>
      </c>
      <c r="G257" s="41">
        <f t="shared" si="8"/>
        <v>196623.59999999998</v>
      </c>
      <c r="H257" s="41">
        <f t="shared" si="8"/>
        <v>1190017.28</v>
      </c>
      <c r="I257" s="41">
        <f t="shared" si="8"/>
        <v>39790.009999999995</v>
      </c>
      <c r="J257" s="41">
        <f t="shared" si="8"/>
        <v>8732.74</v>
      </c>
      <c r="K257" s="41">
        <f t="shared" si="8"/>
        <v>548.66999999999996</v>
      </c>
      <c r="L257" s="41">
        <f t="shared" si="8"/>
        <v>1879739.02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4453.2700000000004</v>
      </c>
      <c r="L263" s="19">
        <f>SUM(F263:K263)</f>
        <v>4453.2700000000004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30000</v>
      </c>
      <c r="L266" s="19">
        <f t="shared" si="9"/>
        <v>30000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34453.270000000004</v>
      </c>
      <c r="L270" s="41">
        <f t="shared" si="9"/>
        <v>34453.270000000004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444026.72</v>
      </c>
      <c r="G271" s="42">
        <f t="shared" si="11"/>
        <v>196623.59999999998</v>
      </c>
      <c r="H271" s="42">
        <f t="shared" si="11"/>
        <v>1190017.28</v>
      </c>
      <c r="I271" s="42">
        <f t="shared" si="11"/>
        <v>39790.009999999995</v>
      </c>
      <c r="J271" s="42">
        <f t="shared" si="11"/>
        <v>8732.74</v>
      </c>
      <c r="K271" s="42">
        <f t="shared" si="11"/>
        <v>35001.94</v>
      </c>
      <c r="L271" s="42">
        <f t="shared" si="11"/>
        <v>1914192.29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10253.04+2692.5+7107+216</f>
        <v>20268.54</v>
      </c>
      <c r="G276" s="18">
        <f>784.37+205.99+39.99+10.5+560.19+2.55+28.55</f>
        <v>1632.1399999999999</v>
      </c>
      <c r="H276" s="18"/>
      <c r="I276" s="18">
        <f>615.08</f>
        <v>615.08000000000004</v>
      </c>
      <c r="J276" s="18">
        <f>94.68+295.56+9309.38+2418</f>
        <v>12117.619999999999</v>
      </c>
      <c r="K276" s="18"/>
      <c r="L276" s="19">
        <f>SUM(F276:K276)</f>
        <v>34633.380000000005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>
        <v>40.11</v>
      </c>
      <c r="I279" s="18"/>
      <c r="J279" s="18"/>
      <c r="K279" s="18"/>
      <c r="L279" s="19">
        <f>SUM(F279:K279)</f>
        <v>40.11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>
        <v>131.94</v>
      </c>
      <c r="L281" s="19">
        <f t="shared" ref="L281:L287" si="12">SUM(F281:K281)</f>
        <v>131.94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1250</v>
      </c>
      <c r="G282" s="18">
        <f>95.62+177+4.88</f>
        <v>277.5</v>
      </c>
      <c r="H282" s="18">
        <f>1570+324.73+8000</f>
        <v>9894.73</v>
      </c>
      <c r="I282" s="18"/>
      <c r="J282" s="18"/>
      <c r="K282" s="18"/>
      <c r="L282" s="19">
        <f t="shared" si="12"/>
        <v>11422.23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1000</v>
      </c>
      <c r="I283" s="18"/>
      <c r="J283" s="18"/>
      <c r="K283" s="18"/>
      <c r="L283" s="19">
        <f t="shared" si="12"/>
        <v>1000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193.45</v>
      </c>
      <c r="L285" s="19">
        <f t="shared" si="12"/>
        <v>193.45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21518.54</v>
      </c>
      <c r="G290" s="42">
        <f t="shared" si="13"/>
        <v>1909.6399999999999</v>
      </c>
      <c r="H290" s="42">
        <f t="shared" si="13"/>
        <v>10934.84</v>
      </c>
      <c r="I290" s="42">
        <f t="shared" si="13"/>
        <v>615.08000000000004</v>
      </c>
      <c r="J290" s="42">
        <f t="shared" si="13"/>
        <v>12117.619999999999</v>
      </c>
      <c r="K290" s="42">
        <f t="shared" si="13"/>
        <v>325.39</v>
      </c>
      <c r="L290" s="41">
        <f t="shared" si="13"/>
        <v>47421.11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21518.54</v>
      </c>
      <c r="G338" s="41">
        <f t="shared" si="20"/>
        <v>1909.6399999999999</v>
      </c>
      <c r="H338" s="41">
        <f t="shared" si="20"/>
        <v>10934.84</v>
      </c>
      <c r="I338" s="41">
        <f t="shared" si="20"/>
        <v>615.08000000000004</v>
      </c>
      <c r="J338" s="41">
        <f t="shared" si="20"/>
        <v>12117.619999999999</v>
      </c>
      <c r="K338" s="41">
        <f t="shared" si="20"/>
        <v>325.39</v>
      </c>
      <c r="L338" s="41">
        <f t="shared" si="20"/>
        <v>47421.11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21518.54</v>
      </c>
      <c r="G352" s="41">
        <f>G338</f>
        <v>1909.6399999999999</v>
      </c>
      <c r="H352" s="41">
        <f>H338</f>
        <v>10934.84</v>
      </c>
      <c r="I352" s="41">
        <f>I338</f>
        <v>615.08000000000004</v>
      </c>
      <c r="J352" s="41">
        <f>J338</f>
        <v>12117.619999999999</v>
      </c>
      <c r="K352" s="47">
        <f>K338+K351</f>
        <v>325.39</v>
      </c>
      <c r="L352" s="41">
        <f>L338+L351</f>
        <v>47421.11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1397.53</f>
        <v>1397.53</v>
      </c>
      <c r="G358" s="18">
        <f>106.92+31.99</f>
        <v>138.91</v>
      </c>
      <c r="H358" s="18">
        <f>2386.55</f>
        <v>2386.5500000000002</v>
      </c>
      <c r="I358" s="18">
        <v>129.97999999999999</v>
      </c>
      <c r="J358" s="18">
        <v>400.3</v>
      </c>
      <c r="K358" s="18"/>
      <c r="L358" s="13">
        <f>SUM(F358:K358)</f>
        <v>4453.2700000000004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1397.53</v>
      </c>
      <c r="G362" s="47">
        <f t="shared" si="22"/>
        <v>138.91</v>
      </c>
      <c r="H362" s="47">
        <f t="shared" si="22"/>
        <v>2386.5500000000002</v>
      </c>
      <c r="I362" s="47">
        <f t="shared" si="22"/>
        <v>129.97999999999999</v>
      </c>
      <c r="J362" s="47">
        <f t="shared" si="22"/>
        <v>400.3</v>
      </c>
      <c r="K362" s="47">
        <f t="shared" si="22"/>
        <v>0</v>
      </c>
      <c r="L362" s="47">
        <f t="shared" si="22"/>
        <v>4453.2700000000004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129.97999999999999</v>
      </c>
      <c r="G368" s="63"/>
      <c r="H368" s="63"/>
      <c r="I368" s="56">
        <f>SUM(F368:H368)</f>
        <v>129.97999999999999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129.97999999999999</v>
      </c>
      <c r="G369" s="47">
        <f>SUM(G367:G368)</f>
        <v>0</v>
      </c>
      <c r="H369" s="47">
        <f>SUM(H367:H368)</f>
        <v>0</v>
      </c>
      <c r="I369" s="47">
        <f>SUM(I367:I368)</f>
        <v>129.97999999999999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15000</v>
      </c>
      <c r="H389" s="18">
        <v>15.78</v>
      </c>
      <c r="I389" s="18"/>
      <c r="J389" s="24" t="s">
        <v>289</v>
      </c>
      <c r="K389" s="24" t="s">
        <v>289</v>
      </c>
      <c r="L389" s="56">
        <f t="shared" si="25"/>
        <v>15015.78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15000</v>
      </c>
      <c r="H393" s="139">
        <f>SUM(H387:H392)</f>
        <v>15.78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15015.78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15000</v>
      </c>
      <c r="H397" s="18">
        <v>24.18</v>
      </c>
      <c r="I397" s="18"/>
      <c r="J397" s="24" t="s">
        <v>289</v>
      </c>
      <c r="K397" s="24" t="s">
        <v>289</v>
      </c>
      <c r="L397" s="56">
        <f t="shared" si="26"/>
        <v>15024.18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15000</v>
      </c>
      <c r="H401" s="47">
        <f>SUM(H395:H400)</f>
        <v>24.18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15024.18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30000</v>
      </c>
      <c r="H408" s="47">
        <f>H393+H401+H407</f>
        <v>39.96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30039.96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69283.350000000006</v>
      </c>
      <c r="G440" s="18">
        <v>102293.28</v>
      </c>
      <c r="H440" s="18"/>
      <c r="I440" s="56">
        <f t="shared" si="33"/>
        <v>171576.63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69283.350000000006</v>
      </c>
      <c r="G446" s="13">
        <f>SUM(G439:G445)</f>
        <v>102293.28</v>
      </c>
      <c r="H446" s="13">
        <f>SUM(H439:H445)</f>
        <v>0</v>
      </c>
      <c r="I446" s="13">
        <f>SUM(I439:I445)</f>
        <v>171576.63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69283.350000000006</v>
      </c>
      <c r="G459" s="18">
        <v>102293.28</v>
      </c>
      <c r="H459" s="18"/>
      <c r="I459" s="56">
        <f t="shared" si="34"/>
        <v>171576.63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69283.350000000006</v>
      </c>
      <c r="G460" s="83">
        <f>SUM(G454:G459)</f>
        <v>102293.28</v>
      </c>
      <c r="H460" s="83">
        <f>SUM(H454:H459)</f>
        <v>0</v>
      </c>
      <c r="I460" s="83">
        <f>SUM(I454:I459)</f>
        <v>171576.63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69283.350000000006</v>
      </c>
      <c r="G461" s="42">
        <f>G452+G460</f>
        <v>102293.28</v>
      </c>
      <c r="H461" s="42">
        <f>H452+H460</f>
        <v>0</v>
      </c>
      <c r="I461" s="42">
        <f>I452+I460</f>
        <v>171576.63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34636.800000000003</v>
      </c>
      <c r="G465" s="18"/>
      <c r="H465" s="18">
        <v>-3896.55</v>
      </c>
      <c r="I465" s="18"/>
      <c r="J465" s="18">
        <v>141536.67000000001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1960880.3</v>
      </c>
      <c r="G468" s="18">
        <v>4453.2700000000004</v>
      </c>
      <c r="H468" s="18">
        <f>39506.82+11081</f>
        <v>50587.82</v>
      </c>
      <c r="I468" s="18"/>
      <c r="J468" s="18">
        <f>15000+15.78+15000+24.18</f>
        <v>30039.96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1960880.3</v>
      </c>
      <c r="G470" s="53">
        <f>SUM(G468:G469)</f>
        <v>4453.2700000000004</v>
      </c>
      <c r="H470" s="53">
        <f>SUM(H468:H469)</f>
        <v>50587.82</v>
      </c>
      <c r="I470" s="53">
        <f>SUM(I468:I469)</f>
        <v>0</v>
      </c>
      <c r="J470" s="53">
        <f>SUM(J468:J469)</f>
        <v>30039.96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1914161.4+30.89</f>
        <v>1914192.2899999998</v>
      </c>
      <c r="G472" s="18">
        <v>4453.2700000000004</v>
      </c>
      <c r="H472" s="18">
        <f>39506.82+7914.29</f>
        <v>47421.11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1914192.2899999998</v>
      </c>
      <c r="G474" s="53">
        <f>SUM(G472:G473)</f>
        <v>4453.2700000000004</v>
      </c>
      <c r="H474" s="53">
        <f>SUM(H472:H473)</f>
        <v>47421.11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81324.810000000289</v>
      </c>
      <c r="G476" s="53">
        <f>(G465+G470)- G474</f>
        <v>0</v>
      </c>
      <c r="H476" s="53">
        <f>(H465+H470)- H474</f>
        <v>-729.84000000000378</v>
      </c>
      <c r="I476" s="53">
        <f>(I465+I470)- I474</f>
        <v>0</v>
      </c>
      <c r="J476" s="53">
        <f>(J465+J470)- J474</f>
        <v>171576.63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49799.88+56559.85</f>
        <v>106359.73</v>
      </c>
      <c r="G521" s="18">
        <f>50724.66+1472.39+227.1+376.02+7043.74+7051.72+414.74</f>
        <v>67310.37</v>
      </c>
      <c r="H521" s="18">
        <f>5100+97209.96+13929.16</f>
        <v>116239.12000000001</v>
      </c>
      <c r="I521" s="18">
        <v>758</v>
      </c>
      <c r="J521" s="18"/>
      <c r="K521" s="18"/>
      <c r="L521" s="88">
        <f>SUM(F521:K521)</f>
        <v>290667.21999999997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80554.34</v>
      </c>
      <c r="I522" s="18"/>
      <c r="J522" s="18"/>
      <c r="K522" s="18"/>
      <c r="L522" s="88">
        <f>SUM(F522:K522)</f>
        <v>80554.34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132909.73+131529.72</f>
        <v>264439.45</v>
      </c>
      <c r="I523" s="18"/>
      <c r="J523" s="18"/>
      <c r="K523" s="18"/>
      <c r="L523" s="88">
        <f>SUM(F523:K523)</f>
        <v>264439.45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106359.73</v>
      </c>
      <c r="G524" s="108">
        <f t="shared" ref="G524:L524" si="36">SUM(G521:G523)</f>
        <v>67310.37</v>
      </c>
      <c r="H524" s="108">
        <f t="shared" si="36"/>
        <v>461232.91000000003</v>
      </c>
      <c r="I524" s="108">
        <f t="shared" si="36"/>
        <v>758</v>
      </c>
      <c r="J524" s="108">
        <f t="shared" si="36"/>
        <v>0</v>
      </c>
      <c r="K524" s="108">
        <f t="shared" si="36"/>
        <v>0</v>
      </c>
      <c r="L524" s="89">
        <f t="shared" si="36"/>
        <v>635661.01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1155.72+2662.5+27811.27+6875+6117.93+8000+112</f>
        <v>52734.420000000006</v>
      </c>
      <c r="I526" s="18"/>
      <c r="J526" s="18"/>
      <c r="K526" s="18"/>
      <c r="L526" s="88">
        <f>SUM(F526:K526)</f>
        <v>52734.420000000006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52734.420000000006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52734.420000000006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7522</v>
      </c>
      <c r="I531" s="18"/>
      <c r="J531" s="18"/>
      <c r="K531" s="18"/>
      <c r="L531" s="88">
        <f>SUM(F531:K531)</f>
        <v>7522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7522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7522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5072.45</v>
      </c>
      <c r="I541" s="18"/>
      <c r="J541" s="18"/>
      <c r="K541" s="18"/>
      <c r="L541" s="88">
        <f>SUM(F541:K541)</f>
        <v>5072.45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750</v>
      </c>
      <c r="I542" s="18"/>
      <c r="J542" s="18"/>
      <c r="K542" s="18"/>
      <c r="L542" s="88">
        <f>SUM(F542:K542)</f>
        <v>750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5822.45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5822.45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106359.73</v>
      </c>
      <c r="G545" s="89">
        <f t="shared" ref="G545:L545" si="41">G524+G529+G534+G539+G544</f>
        <v>67310.37</v>
      </c>
      <c r="H545" s="89">
        <f t="shared" si="41"/>
        <v>527311.78</v>
      </c>
      <c r="I545" s="89">
        <f t="shared" si="41"/>
        <v>758</v>
      </c>
      <c r="J545" s="89">
        <f t="shared" si="41"/>
        <v>0</v>
      </c>
      <c r="K545" s="89">
        <f t="shared" si="41"/>
        <v>0</v>
      </c>
      <c r="L545" s="89">
        <f t="shared" si="41"/>
        <v>701739.88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290667.21999999997</v>
      </c>
      <c r="G549" s="87">
        <f>L526</f>
        <v>52734.420000000006</v>
      </c>
      <c r="H549" s="87">
        <f>L531</f>
        <v>7522</v>
      </c>
      <c r="I549" s="87">
        <f>L536</f>
        <v>0</v>
      </c>
      <c r="J549" s="87">
        <f>L541</f>
        <v>5072.45</v>
      </c>
      <c r="K549" s="87">
        <f>SUM(F549:J549)</f>
        <v>355996.08999999997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80554.34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750</v>
      </c>
      <c r="K550" s="87">
        <f>SUM(F550:J550)</f>
        <v>81304.34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264439.45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264439.45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635661.01</v>
      </c>
      <c r="G552" s="89">
        <f t="shared" si="42"/>
        <v>52734.420000000006</v>
      </c>
      <c r="H552" s="89">
        <f t="shared" si="42"/>
        <v>7522</v>
      </c>
      <c r="I552" s="89">
        <f t="shared" si="42"/>
        <v>0</v>
      </c>
      <c r="J552" s="89">
        <f t="shared" si="42"/>
        <v>5822.45</v>
      </c>
      <c r="K552" s="89">
        <f t="shared" si="42"/>
        <v>701739.87999999989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125838.31</v>
      </c>
      <c r="H575" s="18">
        <v>233463.98</v>
      </c>
      <c r="I575" s="87">
        <f>SUM(F575:H575)</f>
        <v>359302.29000000004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116239.12</v>
      </c>
      <c r="G579" s="18">
        <v>80554.34</v>
      </c>
      <c r="H579" s="18">
        <v>264439.45</v>
      </c>
      <c r="I579" s="87">
        <f t="shared" si="47"/>
        <v>461232.91000000003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28833.69</v>
      </c>
      <c r="I591" s="18">
        <v>13242</v>
      </c>
      <c r="J591" s="18">
        <v>13241</v>
      </c>
      <c r="K591" s="104">
        <f t="shared" ref="K591:K597" si="48">SUM(H591:J591)</f>
        <v>55316.69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5072.45</v>
      </c>
      <c r="I592" s="18">
        <v>750</v>
      </c>
      <c r="J592" s="18"/>
      <c r="K592" s="104">
        <f t="shared" si="48"/>
        <v>5822.45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647.94000000000005</v>
      </c>
      <c r="I595" s="18"/>
      <c r="J595" s="18"/>
      <c r="K595" s="104">
        <f t="shared" si="48"/>
        <v>647.94000000000005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21690</v>
      </c>
      <c r="I597" s="18">
        <v>10845</v>
      </c>
      <c r="J597" s="18">
        <v>10845</v>
      </c>
      <c r="K597" s="104">
        <f t="shared" si="48"/>
        <v>43380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56244.08</v>
      </c>
      <c r="I598" s="108">
        <f>SUM(I591:I597)</f>
        <v>24837</v>
      </c>
      <c r="J598" s="108">
        <f>SUM(J591:J597)</f>
        <v>24086</v>
      </c>
      <c r="K598" s="108">
        <f>SUM(K591:K597)</f>
        <v>105167.08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20850.36</f>
        <v>20850.36</v>
      </c>
      <c r="I604" s="18"/>
      <c r="J604" s="18"/>
      <c r="K604" s="104">
        <f>SUM(H604:J604)</f>
        <v>20850.36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20850.36</v>
      </c>
      <c r="I605" s="108">
        <f>SUM(I602:I604)</f>
        <v>0</v>
      </c>
      <c r="J605" s="108">
        <f>SUM(J602:J604)</f>
        <v>0</v>
      </c>
      <c r="K605" s="108">
        <f>SUM(K602:K604)</f>
        <v>20850.36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102041.56999999999</v>
      </c>
      <c r="H617" s="109">
        <f>SUM(F52)</f>
        <v>102041.56999999999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10034.629999999999</v>
      </c>
      <c r="H619" s="109">
        <f>SUM(H52)</f>
        <v>10034.630000000001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171576.63</v>
      </c>
      <c r="H621" s="109">
        <f>SUM(J52)</f>
        <v>171576.63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81324.81</v>
      </c>
      <c r="H622" s="109">
        <f>F476</f>
        <v>81324.810000000289</v>
      </c>
      <c r="I622" s="121" t="s">
        <v>101</v>
      </c>
      <c r="J622" s="109">
        <f t="shared" ref="J622:J655" si="50">G622-H622</f>
        <v>-2.9103830456733704E-10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-729.84</v>
      </c>
      <c r="H624" s="109">
        <f>H476</f>
        <v>-729.84000000000378</v>
      </c>
      <c r="I624" s="121" t="s">
        <v>103</v>
      </c>
      <c r="J624" s="109">
        <f t="shared" si="50"/>
        <v>3.751665644813329E-12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171576.63</v>
      </c>
      <c r="H626" s="109">
        <f>J476</f>
        <v>171576.63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1960880.3</v>
      </c>
      <c r="H627" s="104">
        <f>SUM(F468)</f>
        <v>1960880.3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4453.2700000000004</v>
      </c>
      <c r="H628" s="104">
        <f>SUM(G468)</f>
        <v>4453.2700000000004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50587.82</v>
      </c>
      <c r="H629" s="104">
        <f>SUM(H468)</f>
        <v>50587.82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30039.96</v>
      </c>
      <c r="H631" s="104">
        <f>SUM(J468)</f>
        <v>30039.96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1914192.29</v>
      </c>
      <c r="H632" s="104">
        <f>SUM(F472)</f>
        <v>1914192.2899999998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47421.11</v>
      </c>
      <c r="H633" s="104">
        <f>SUM(H472)</f>
        <v>47421.11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129.97999999999999</v>
      </c>
      <c r="H634" s="104">
        <f>I369</f>
        <v>129.97999999999999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4453.2700000000004</v>
      </c>
      <c r="H635" s="104">
        <f>SUM(G472)</f>
        <v>4453.2700000000004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30039.96</v>
      </c>
      <c r="H637" s="164">
        <f>SUM(J468)</f>
        <v>30039.96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69283.350000000006</v>
      </c>
      <c r="H639" s="104">
        <f>SUM(F461)</f>
        <v>69283.350000000006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102293.28</v>
      </c>
      <c r="H640" s="104">
        <f>SUM(G461)</f>
        <v>102293.28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171576.63</v>
      </c>
      <c r="H642" s="104">
        <f>SUM(I461)</f>
        <v>171576.63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39.96</v>
      </c>
      <c r="H644" s="104">
        <f>H408</f>
        <v>39.96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30000</v>
      </c>
      <c r="H645" s="104">
        <f>G408</f>
        <v>30000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30039.96</v>
      </c>
      <c r="H646" s="104">
        <f>L408</f>
        <v>30039.96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105167.08</v>
      </c>
      <c r="H647" s="104">
        <f>L208+L226+L244</f>
        <v>105167.08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20850.36</v>
      </c>
      <c r="H648" s="104">
        <f>(J257+J338)-(J255+J336)</f>
        <v>20850.36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56244.08</v>
      </c>
      <c r="H649" s="104">
        <f>H598</f>
        <v>56244.08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24837</v>
      </c>
      <c r="H650" s="104">
        <f>I598</f>
        <v>24837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24086</v>
      </c>
      <c r="H651" s="104">
        <f>J598</f>
        <v>24086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4453.2700000000004</v>
      </c>
      <c r="H652" s="104">
        <f>K263+K345</f>
        <v>4453.2700000000004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30000</v>
      </c>
      <c r="H655" s="104">
        <f>K266+K347</f>
        <v>30000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1178394.32</v>
      </c>
      <c r="G660" s="19">
        <f>(L229+L309+L359)</f>
        <v>231229.65</v>
      </c>
      <c r="H660" s="19">
        <f>(L247+L328+L360)</f>
        <v>521989.43000000005</v>
      </c>
      <c r="I660" s="19">
        <f>SUM(F660:H660)</f>
        <v>1931613.4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56244.08</v>
      </c>
      <c r="G662" s="19">
        <f>(L226+L306)-(J226+J306)</f>
        <v>24837</v>
      </c>
      <c r="H662" s="19">
        <f>(L244+L325)-(J244+J325)</f>
        <v>24086</v>
      </c>
      <c r="I662" s="19">
        <f>SUM(F662:H662)</f>
        <v>105167.08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137089.47999999998</v>
      </c>
      <c r="G663" s="199">
        <f>SUM(G575:G587)+SUM(I602:I604)+L612</f>
        <v>206392.65</v>
      </c>
      <c r="H663" s="199">
        <f>SUM(H575:H587)+SUM(J602:J604)+L613</f>
        <v>497903.43000000005</v>
      </c>
      <c r="I663" s="19">
        <f>SUM(F663:H663)</f>
        <v>841385.56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985060.76</v>
      </c>
      <c r="G664" s="19">
        <f>G660-SUM(G661:G663)</f>
        <v>0</v>
      </c>
      <c r="H664" s="19">
        <f>H660-SUM(H661:H663)</f>
        <v>0</v>
      </c>
      <c r="I664" s="19">
        <f>I660-SUM(I661:I663)</f>
        <v>985060.75999999989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54.87</v>
      </c>
      <c r="G665" s="248"/>
      <c r="H665" s="248"/>
      <c r="I665" s="19">
        <f>SUM(F665:H665)</f>
        <v>54.87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17952.63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17952.63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17952.63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17952.63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NELSON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241452.43000000002</v>
      </c>
      <c r="C9" s="229">
        <f>'DOE25'!G197+'DOE25'!G215+'DOE25'!G233+'DOE25'!G276+'DOE25'!G295+'DOE25'!G314</f>
        <v>85136.43</v>
      </c>
    </row>
    <row r="10" spans="1:3" x14ac:dyDescent="0.2">
      <c r="A10" t="s">
        <v>779</v>
      </c>
      <c r="B10" s="240">
        <v>228506.89</v>
      </c>
      <c r="C10" s="240">
        <v>80571.820000000007</v>
      </c>
    </row>
    <row r="11" spans="1:3" x14ac:dyDescent="0.2">
      <c r="A11" t="s">
        <v>780</v>
      </c>
      <c r="B11" s="240">
        <v>12945.54</v>
      </c>
      <c r="C11" s="240">
        <v>4564.6099999999997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241452.43000000002</v>
      </c>
      <c r="C13" s="231">
        <f>SUM(C10:C12)</f>
        <v>85136.430000000008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106359.73</v>
      </c>
      <c r="C18" s="229">
        <f>'DOE25'!G198+'DOE25'!G216+'DOE25'!G234+'DOE25'!G277+'DOE25'!G296+'DOE25'!G315</f>
        <v>67310.37</v>
      </c>
    </row>
    <row r="19" spans="1:3" x14ac:dyDescent="0.2">
      <c r="A19" t="s">
        <v>779</v>
      </c>
      <c r="B19" s="240">
        <v>49799.88</v>
      </c>
      <c r="C19" s="240">
        <v>31516.14</v>
      </c>
    </row>
    <row r="20" spans="1:3" x14ac:dyDescent="0.2">
      <c r="A20" t="s">
        <v>780</v>
      </c>
      <c r="B20" s="240">
        <v>56559.85</v>
      </c>
      <c r="C20" s="240">
        <v>35794.230000000003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106359.73</v>
      </c>
      <c r="C22" s="231">
        <f>SUM(C19:C21)</f>
        <v>67310.37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3925</v>
      </c>
      <c r="C36" s="235">
        <f>'DOE25'!G200+'DOE25'!G218+'DOE25'!G236+'DOE25'!G279+'DOE25'!G298+'DOE25'!G317</f>
        <v>643.28</v>
      </c>
    </row>
    <row r="37" spans="1:3" x14ac:dyDescent="0.2">
      <c r="A37" t="s">
        <v>779</v>
      </c>
      <c r="B37" s="240">
        <v>3925</v>
      </c>
      <c r="C37" s="240">
        <v>643.28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3925</v>
      </c>
      <c r="C40" s="231">
        <f>SUM(C37:C39)</f>
        <v>643.28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NELSON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1348383.53</v>
      </c>
      <c r="D5" s="20">
        <f>SUM('DOE25'!L197:L200)+SUM('DOE25'!L215:L218)+SUM('DOE25'!L233:L236)-F5-G5</f>
        <v>1342948.12</v>
      </c>
      <c r="E5" s="243"/>
      <c r="F5" s="255">
        <f>SUM('DOE25'!J197:J200)+SUM('DOE25'!J215:J218)+SUM('DOE25'!J233:J236)</f>
        <v>4922.74</v>
      </c>
      <c r="G5" s="53">
        <f>SUM('DOE25'!K197:K200)+SUM('DOE25'!K215:K218)+SUM('DOE25'!K233:K236)</f>
        <v>512.66999999999996</v>
      </c>
      <c r="H5" s="259"/>
    </row>
    <row r="6" spans="1:9" x14ac:dyDescent="0.2">
      <c r="A6" s="32">
        <v>2100</v>
      </c>
      <c r="B6" t="s">
        <v>801</v>
      </c>
      <c r="C6" s="245">
        <f t="shared" si="0"/>
        <v>96534.10000000002</v>
      </c>
      <c r="D6" s="20">
        <f>'DOE25'!L202+'DOE25'!L220+'DOE25'!L238-F6-G6</f>
        <v>96534.10000000002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4999.92</v>
      </c>
      <c r="D7" s="20">
        <f>'DOE25'!L203+'DOE25'!L221+'DOE25'!L239-F7-G7</f>
        <v>4999.92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72037.959999999992</v>
      </c>
      <c r="D8" s="243"/>
      <c r="E8" s="20">
        <f>'DOE25'!L204+'DOE25'!L222+'DOE25'!L240-F8-G8-D9-D11</f>
        <v>72001.959999999992</v>
      </c>
      <c r="F8" s="255">
        <f>'DOE25'!J204+'DOE25'!J222+'DOE25'!J240</f>
        <v>0</v>
      </c>
      <c r="G8" s="53">
        <f>'DOE25'!K204+'DOE25'!K222+'DOE25'!K240</f>
        <v>36</v>
      </c>
      <c r="H8" s="259"/>
    </row>
    <row r="9" spans="1:9" x14ac:dyDescent="0.2">
      <c r="A9" s="32">
        <v>2310</v>
      </c>
      <c r="B9" t="s">
        <v>818</v>
      </c>
      <c r="C9" s="245">
        <f t="shared" si="0"/>
        <v>4002.02</v>
      </c>
      <c r="D9" s="244">
        <f>2011.67+100+1890.35</f>
        <v>4002.02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5750</v>
      </c>
      <c r="D10" s="243"/>
      <c r="E10" s="244">
        <v>5750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14813</v>
      </c>
      <c r="D11" s="244">
        <v>14813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159260.91</v>
      </c>
      <c r="D12" s="20">
        <f>'DOE25'!L205+'DOE25'!L223+'DOE25'!L241-F12-G12</f>
        <v>155450.91</v>
      </c>
      <c r="E12" s="243"/>
      <c r="F12" s="255">
        <f>'DOE25'!J205+'DOE25'!J223+'DOE25'!J241</f>
        <v>3810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74216</v>
      </c>
      <c r="D14" s="20">
        <f>'DOE25'!L207+'DOE25'!L225+'DOE25'!L243-F14-G14</f>
        <v>74216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105167.08</v>
      </c>
      <c r="D15" s="20">
        <f>'DOE25'!L208+'DOE25'!L226+'DOE25'!L244-F15-G15</f>
        <v>105167.08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324.5</v>
      </c>
      <c r="D16" s="243"/>
      <c r="E16" s="20">
        <f>'DOE25'!L209+'DOE25'!L227+'DOE25'!L245-F16-G16</f>
        <v>324.5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4453.2700000000004</v>
      </c>
      <c r="D29" s="20">
        <f>'DOE25'!L358+'DOE25'!L359+'DOE25'!L360-'DOE25'!I367-F29-G29</f>
        <v>4052.9700000000003</v>
      </c>
      <c r="E29" s="243"/>
      <c r="F29" s="255">
        <f>'DOE25'!J358+'DOE25'!J359+'DOE25'!J360</f>
        <v>400.3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47421.11</v>
      </c>
      <c r="D31" s="20">
        <f>'DOE25'!L290+'DOE25'!L309+'DOE25'!L328+'DOE25'!L333+'DOE25'!L334+'DOE25'!L335-F31-G31</f>
        <v>34978.100000000006</v>
      </c>
      <c r="E31" s="243"/>
      <c r="F31" s="255">
        <f>'DOE25'!J290+'DOE25'!J309+'DOE25'!J328+'DOE25'!J333+'DOE25'!J334+'DOE25'!J335</f>
        <v>12117.619999999999</v>
      </c>
      <c r="G31" s="53">
        <f>'DOE25'!K290+'DOE25'!K309+'DOE25'!K328+'DOE25'!K333+'DOE25'!K334+'DOE25'!K335</f>
        <v>325.39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1837162.2200000002</v>
      </c>
      <c r="E33" s="246">
        <f>SUM(E5:E31)</f>
        <v>78076.459999999992</v>
      </c>
      <c r="F33" s="246">
        <f>SUM(F5:F31)</f>
        <v>21250.659999999996</v>
      </c>
      <c r="G33" s="246">
        <f>SUM(G5:G31)</f>
        <v>874.06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78076.459999999992</v>
      </c>
      <c r="E35" s="249"/>
    </row>
    <row r="36" spans="2:8" ht="12" thickTop="1" x14ac:dyDescent="0.2">
      <c r="B36" t="s">
        <v>815</v>
      </c>
      <c r="D36" s="20">
        <f>D33</f>
        <v>1837162.2200000002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NELSON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74470.100000000006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1000.17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171576.63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9320.6200000000008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15372.82</v>
      </c>
      <c r="D12" s="95">
        <f>'DOE25'!G13</f>
        <v>0</v>
      </c>
      <c r="E12" s="95">
        <f>'DOE25'!H13</f>
        <v>9371.6299999999992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1407.12</v>
      </c>
      <c r="D13" s="95">
        <f>'DOE25'!G14</f>
        <v>0</v>
      </c>
      <c r="E13" s="95">
        <f>'DOE25'!H14</f>
        <v>663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470.74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102041.56999999999</v>
      </c>
      <c r="D18" s="41">
        <f>SUM(D8:D17)</f>
        <v>0</v>
      </c>
      <c r="E18" s="41">
        <f>SUM(E8:E17)</f>
        <v>10034.629999999999</v>
      </c>
      <c r="F18" s="41">
        <f>SUM(F8:F17)</f>
        <v>0</v>
      </c>
      <c r="G18" s="41">
        <f>SUM(G8:G17)</f>
        <v>171576.63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9320.6200000000008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1283.3800000000001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18091.78</v>
      </c>
      <c r="D23" s="95">
        <f>'DOE25'!G24</f>
        <v>0</v>
      </c>
      <c r="E23" s="95">
        <f>'DOE25'!H24</f>
        <v>40.11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1341.6</v>
      </c>
      <c r="D27" s="95">
        <f>'DOE25'!G28</f>
        <v>0</v>
      </c>
      <c r="E27" s="95">
        <f>'DOE25'!H28</f>
        <v>215.45999999999998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1188.28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20716.759999999998</v>
      </c>
      <c r="D31" s="41">
        <f>SUM(D21:D30)</f>
        <v>0</v>
      </c>
      <c r="E31" s="41">
        <f>SUM(E21:E30)</f>
        <v>10764.470000000001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470.74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300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-729.84</v>
      </c>
      <c r="F47" s="95">
        <f>'DOE25'!I48</f>
        <v>0</v>
      </c>
      <c r="G47" s="95">
        <f>'DOE25'!J48</f>
        <v>171576.63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50554.07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81324.81</v>
      </c>
      <c r="D50" s="41">
        <f>SUM(D34:D49)</f>
        <v>0</v>
      </c>
      <c r="E50" s="41">
        <f>SUM(E34:E49)</f>
        <v>-729.84</v>
      </c>
      <c r="F50" s="41">
        <f>SUM(F34:F49)</f>
        <v>0</v>
      </c>
      <c r="G50" s="41">
        <f>SUM(G34:G49)</f>
        <v>171576.63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102041.56999999999</v>
      </c>
      <c r="D51" s="41">
        <f>D50+D31</f>
        <v>0</v>
      </c>
      <c r="E51" s="41">
        <f>E50+E31</f>
        <v>10034.630000000001</v>
      </c>
      <c r="F51" s="41">
        <f>F50+F31</f>
        <v>0</v>
      </c>
      <c r="G51" s="41">
        <f>G50+G31</f>
        <v>171576.63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996744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329944.32000000001</v>
      </c>
      <c r="D57" s="24" t="s">
        <v>289</v>
      </c>
      <c r="E57" s="95">
        <f>'DOE25'!H79</f>
        <v>11081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135.97999999999999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39.96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86906.82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416987.12</v>
      </c>
      <c r="D62" s="130">
        <f>SUM(D57:D61)</f>
        <v>0</v>
      </c>
      <c r="E62" s="130">
        <f>SUM(E57:E61)</f>
        <v>11081</v>
      </c>
      <c r="F62" s="130">
        <f>SUM(F57:F61)</f>
        <v>0</v>
      </c>
      <c r="G62" s="130">
        <f>SUM(G57:G61)</f>
        <v>39.96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1413731.12</v>
      </c>
      <c r="D63" s="22">
        <f>D56+D62</f>
        <v>0</v>
      </c>
      <c r="E63" s="22">
        <f>E56+E62</f>
        <v>11081</v>
      </c>
      <c r="F63" s="22">
        <f>F56+F62</f>
        <v>0</v>
      </c>
      <c r="G63" s="22">
        <f>G56+G62</f>
        <v>39.96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135552.76999999999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292023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427575.77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79116.53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79116.53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506692.30000000005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11842.2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27921.88</v>
      </c>
      <c r="D88" s="95">
        <f>SUM('DOE25'!G153:G161)</f>
        <v>0</v>
      </c>
      <c r="E88" s="95">
        <f>SUM('DOE25'!H153:H161)</f>
        <v>27664.62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27921.88</v>
      </c>
      <c r="D91" s="131">
        <f>SUM(D85:D90)</f>
        <v>0</v>
      </c>
      <c r="E91" s="131">
        <f>SUM(E85:E90)</f>
        <v>39506.82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4453.2700000000004</v>
      </c>
      <c r="E96" s="95">
        <f>'DOE25'!H179</f>
        <v>0</v>
      </c>
      <c r="F96" s="95">
        <f>'DOE25'!I179</f>
        <v>0</v>
      </c>
      <c r="G96" s="95">
        <f>'DOE25'!J179</f>
        <v>30000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12535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12535</v>
      </c>
      <c r="D103" s="86">
        <f>SUM(D93:D102)</f>
        <v>4453.2700000000004</v>
      </c>
      <c r="E103" s="86">
        <f>SUM(E93:E102)</f>
        <v>0</v>
      </c>
      <c r="F103" s="86">
        <f>SUM(F93:F102)</f>
        <v>0</v>
      </c>
      <c r="G103" s="86">
        <f>SUM(G93:G102)</f>
        <v>30000</v>
      </c>
    </row>
    <row r="104" spans="1:7" ht="12.75" thickTop="1" thickBot="1" x14ac:dyDescent="0.25">
      <c r="A104" s="33" t="s">
        <v>765</v>
      </c>
      <c r="C104" s="86">
        <f>C63+C81+C91+C103</f>
        <v>1960880.3</v>
      </c>
      <c r="D104" s="86">
        <f>D63+D81+D91+D103</f>
        <v>4453.2700000000004</v>
      </c>
      <c r="E104" s="86">
        <f>E63+E81+E91+E103</f>
        <v>50587.82</v>
      </c>
      <c r="F104" s="86">
        <f>F63+F81+F91+F103</f>
        <v>0</v>
      </c>
      <c r="G104" s="86">
        <f>G63+G81+G103</f>
        <v>30039.96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707986.78999999992</v>
      </c>
      <c r="D109" s="24" t="s">
        <v>289</v>
      </c>
      <c r="E109" s="95">
        <f>('DOE25'!L276)+('DOE25'!L295)+('DOE25'!L314)</f>
        <v>34633.380000000005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635661.01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4735.7299999999996</v>
      </c>
      <c r="D112" s="24" t="s">
        <v>289</v>
      </c>
      <c r="E112" s="95">
        <f>+('DOE25'!L279)+('DOE25'!L298)+('DOE25'!L317)</f>
        <v>40.11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1348383.5299999998</v>
      </c>
      <c r="D115" s="86">
        <f>SUM(D109:D114)</f>
        <v>0</v>
      </c>
      <c r="E115" s="86">
        <f>SUM(E109:E114)</f>
        <v>34673.490000000005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96534.10000000002</v>
      </c>
      <c r="D118" s="24" t="s">
        <v>289</v>
      </c>
      <c r="E118" s="95">
        <f>+('DOE25'!L281)+('DOE25'!L300)+('DOE25'!L319)</f>
        <v>131.94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4999.92</v>
      </c>
      <c r="D119" s="24" t="s">
        <v>289</v>
      </c>
      <c r="E119" s="95">
        <f>+('DOE25'!L282)+('DOE25'!L301)+('DOE25'!L320)</f>
        <v>11422.23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90852.98</v>
      </c>
      <c r="D120" s="24" t="s">
        <v>289</v>
      </c>
      <c r="E120" s="95">
        <f>+('DOE25'!L283)+('DOE25'!L302)+('DOE25'!L321)</f>
        <v>1000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159260.91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193.45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74216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105167.08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324.5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4453.2700000000004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531355.49</v>
      </c>
      <c r="D128" s="86">
        <f>SUM(D118:D127)</f>
        <v>4453.2700000000004</v>
      </c>
      <c r="E128" s="86">
        <f>SUM(E118:E127)</f>
        <v>12747.62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4453.2700000000004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15015.78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15024.18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-39.959999999999127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34453.270000000004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1914192.2899999998</v>
      </c>
      <c r="D145" s="86">
        <f>(D115+D128+D144)</f>
        <v>4453.2700000000004</v>
      </c>
      <c r="E145" s="86">
        <f>(E115+E128+E144)</f>
        <v>47421.110000000008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NELSON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17953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17953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742620</v>
      </c>
      <c r="D10" s="182">
        <f>ROUND((C10/$C$28)*100,1)</f>
        <v>38.4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635661</v>
      </c>
      <c r="D11" s="182">
        <f>ROUND((C11/$C$28)*100,1)</f>
        <v>32.9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4776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96666</v>
      </c>
      <c r="D15" s="182">
        <f t="shared" ref="D15:D27" si="0">ROUND((C15/$C$28)*100,1)</f>
        <v>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16422</v>
      </c>
      <c r="D16" s="182">
        <f t="shared" si="0"/>
        <v>0.9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92177</v>
      </c>
      <c r="D17" s="182">
        <f t="shared" si="0"/>
        <v>4.8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159261</v>
      </c>
      <c r="D18" s="182">
        <f t="shared" si="0"/>
        <v>8.1999999999999993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193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74216</v>
      </c>
      <c r="D20" s="182">
        <f t="shared" si="0"/>
        <v>3.8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105167</v>
      </c>
      <c r="D21" s="182">
        <f t="shared" si="0"/>
        <v>5.4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4453</v>
      </c>
      <c r="D27" s="182">
        <f t="shared" si="0"/>
        <v>0.2</v>
      </c>
    </row>
    <row r="28" spans="1:4" x14ac:dyDescent="0.2">
      <c r="B28" s="187" t="s">
        <v>723</v>
      </c>
      <c r="C28" s="180">
        <f>SUM(C10:C27)</f>
        <v>1931612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1931612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996744</v>
      </c>
      <c r="D35" s="182">
        <f t="shared" ref="D35:D40" si="1">ROUND((C35/$C$41)*100,1)</f>
        <v>49.9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428108.08000000007</v>
      </c>
      <c r="D36" s="182">
        <f t="shared" si="1"/>
        <v>21.4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427576</v>
      </c>
      <c r="D37" s="182">
        <f t="shared" si="1"/>
        <v>21.4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79117</v>
      </c>
      <c r="D38" s="182">
        <f t="shared" si="1"/>
        <v>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67429</v>
      </c>
      <c r="D39" s="182">
        <f t="shared" si="1"/>
        <v>3.4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1998974.08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NELSON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2014-04-29T12:07:51Z</cp:lastPrinted>
  <dcterms:created xsi:type="dcterms:W3CDTF">1997-12-04T19:04:30Z</dcterms:created>
  <dcterms:modified xsi:type="dcterms:W3CDTF">2014-10-07T15:11:10Z</dcterms:modified>
</cp:coreProperties>
</file>