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3">'MS-25'!$A$1:$G$165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59" i="1" l="1"/>
  <c r="G9" i="1"/>
  <c r="H604" i="1" l="1"/>
  <c r="H592" i="1" l="1"/>
  <c r="J592" i="1"/>
  <c r="I592" i="1"/>
  <c r="H575" i="1"/>
  <c r="G575" i="1"/>
  <c r="H543" i="1"/>
  <c r="H542" i="1"/>
  <c r="H523" i="1"/>
  <c r="H522" i="1"/>
  <c r="K521" i="1"/>
  <c r="I521" i="1"/>
  <c r="J521" i="1"/>
  <c r="H521" i="1"/>
  <c r="G521" i="1"/>
  <c r="F521" i="1"/>
  <c r="J465" i="1" l="1"/>
  <c r="H472" i="1" l="1"/>
  <c r="G472" i="1"/>
  <c r="H468" i="1"/>
  <c r="F468" i="1"/>
  <c r="H282" i="1"/>
  <c r="I276" i="1"/>
  <c r="G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C11" i="10" s="1"/>
  <c r="L278" i="1"/>
  <c r="L279" i="1"/>
  <c r="C13" i="10" s="1"/>
  <c r="L281" i="1"/>
  <c r="L282" i="1"/>
  <c r="E119" i="2" s="1"/>
  <c r="L283" i="1"/>
  <c r="E120" i="2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9" i="10"/>
  <c r="L250" i="1"/>
  <c r="L332" i="1"/>
  <c r="L254" i="1"/>
  <c r="C25" i="10"/>
  <c r="L268" i="1"/>
  <c r="L269" i="1"/>
  <c r="L349" i="1"/>
  <c r="L350" i="1"/>
  <c r="I665" i="1"/>
  <c r="I670" i="1"/>
  <c r="L247" i="1"/>
  <c r="F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C63" i="2" s="1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C121" i="2"/>
  <c r="E121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F408" i="1" s="1"/>
  <c r="H643" i="1" s="1"/>
  <c r="J643" i="1" s="1"/>
  <c r="G401" i="1"/>
  <c r="G408" i="1" s="1"/>
  <c r="H645" i="1" s="1"/>
  <c r="J645" i="1" s="1"/>
  <c r="H401" i="1"/>
  <c r="I401" i="1"/>
  <c r="F407" i="1"/>
  <c r="G407" i="1"/>
  <c r="H407" i="1"/>
  <c r="I407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H470" i="1"/>
  <c r="I470" i="1"/>
  <c r="J470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8" i="1" s="1"/>
  <c r="G647" i="1" s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5" i="1"/>
  <c r="H627" i="1"/>
  <c r="H629" i="1"/>
  <c r="H630" i="1"/>
  <c r="H631" i="1"/>
  <c r="H633" i="1"/>
  <c r="G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G644" i="1"/>
  <c r="H644" i="1"/>
  <c r="G645" i="1"/>
  <c r="G649" i="1"/>
  <c r="G650" i="1"/>
  <c r="G652" i="1"/>
  <c r="H652" i="1"/>
  <c r="G653" i="1"/>
  <c r="H653" i="1"/>
  <c r="G654" i="1"/>
  <c r="H654" i="1"/>
  <c r="H655" i="1"/>
  <c r="J655" i="1" s="1"/>
  <c r="F192" i="1"/>
  <c r="L256" i="1"/>
  <c r="K257" i="1"/>
  <c r="K271" i="1" s="1"/>
  <c r="I257" i="1"/>
  <c r="I271" i="1" s="1"/>
  <c r="G164" i="2"/>
  <c r="C26" i="10"/>
  <c r="L328" i="1"/>
  <c r="H660" i="1" s="1"/>
  <c r="L351" i="1"/>
  <c r="A31" i="1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E31" i="2"/>
  <c r="G62" i="2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J639" i="1"/>
  <c r="K605" i="1"/>
  <c r="G648" i="1" s="1"/>
  <c r="J571" i="1"/>
  <c r="K571" i="1"/>
  <c r="L433" i="1"/>
  <c r="L419" i="1"/>
  <c r="I169" i="1"/>
  <c r="H169" i="1"/>
  <c r="G552" i="1"/>
  <c r="J644" i="1"/>
  <c r="H476" i="1"/>
  <c r="H624" i="1" s="1"/>
  <c r="I476" i="1"/>
  <c r="H625" i="1" s="1"/>
  <c r="J625" i="1" s="1"/>
  <c r="G338" i="1"/>
  <c r="G352" i="1" s="1"/>
  <c r="F169" i="1"/>
  <c r="J140" i="1"/>
  <c r="I552" i="1"/>
  <c r="K549" i="1"/>
  <c r="K550" i="1"/>
  <c r="G22" i="2"/>
  <c r="K545" i="1"/>
  <c r="J552" i="1"/>
  <c r="H552" i="1"/>
  <c r="C29" i="10"/>
  <c r="H140" i="1"/>
  <c r="L393" i="1"/>
  <c r="A13" i="12"/>
  <c r="F22" i="13"/>
  <c r="H25" i="13"/>
  <c r="C25" i="13" s="1"/>
  <c r="J640" i="1"/>
  <c r="H571" i="1"/>
  <c r="L560" i="1"/>
  <c r="J545" i="1"/>
  <c r="H338" i="1"/>
  <c r="H352" i="1" s="1"/>
  <c r="G192" i="1"/>
  <c r="H192" i="1"/>
  <c r="F552" i="1"/>
  <c r="C35" i="10"/>
  <c r="L309" i="1"/>
  <c r="E16" i="13"/>
  <c r="L570" i="1"/>
  <c r="I571" i="1"/>
  <c r="I545" i="1"/>
  <c r="J636" i="1"/>
  <c r="G36" i="2"/>
  <c r="L565" i="1"/>
  <c r="G545" i="1"/>
  <c r="L545" i="1"/>
  <c r="H545" i="1"/>
  <c r="K551" i="1"/>
  <c r="C22" i="13"/>
  <c r="C138" i="2"/>
  <c r="C16" i="13"/>
  <c r="H33" i="13"/>
  <c r="G624" i="1" l="1"/>
  <c r="J624" i="1" s="1"/>
  <c r="J617" i="1"/>
  <c r="C18" i="2"/>
  <c r="L401" i="1"/>
  <c r="C139" i="2" s="1"/>
  <c r="J649" i="1"/>
  <c r="K552" i="1"/>
  <c r="J476" i="1"/>
  <c r="H626" i="1" s="1"/>
  <c r="D29" i="13"/>
  <c r="C29" i="13" s="1"/>
  <c r="D127" i="2"/>
  <c r="D128" i="2" s="1"/>
  <c r="D145" i="2" s="1"/>
  <c r="H661" i="1"/>
  <c r="H664" i="1" s="1"/>
  <c r="H667" i="1" s="1"/>
  <c r="F661" i="1"/>
  <c r="L362" i="1"/>
  <c r="G635" i="1" s="1"/>
  <c r="J635" i="1" s="1"/>
  <c r="L290" i="1"/>
  <c r="C17" i="10"/>
  <c r="E128" i="2"/>
  <c r="C16" i="10"/>
  <c r="C15" i="10"/>
  <c r="E110" i="2"/>
  <c r="E115" i="2" s="1"/>
  <c r="H647" i="1"/>
  <c r="J647" i="1"/>
  <c r="G651" i="1"/>
  <c r="J651" i="1" s="1"/>
  <c r="C21" i="10"/>
  <c r="C124" i="2"/>
  <c r="G662" i="1"/>
  <c r="I662" i="1" s="1"/>
  <c r="L229" i="1"/>
  <c r="G660" i="1" s="1"/>
  <c r="G664" i="1" s="1"/>
  <c r="G667" i="1" s="1"/>
  <c r="H257" i="1"/>
  <c r="H271" i="1" s="1"/>
  <c r="C110" i="2"/>
  <c r="C10" i="10"/>
  <c r="C123" i="2"/>
  <c r="E8" i="13"/>
  <c r="C8" i="13" s="1"/>
  <c r="C119" i="2"/>
  <c r="C81" i="2"/>
  <c r="C104" i="2" s="1"/>
  <c r="C109" i="2"/>
  <c r="D5" i="13"/>
  <c r="C5" i="13" s="1"/>
  <c r="L211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E33" i="13" l="1"/>
  <c r="D35" i="13" s="1"/>
  <c r="H646" i="1"/>
  <c r="J646" i="1" s="1"/>
  <c r="C27" i="10"/>
  <c r="C28" i="10" s="1"/>
  <c r="D19" i="10" s="1"/>
  <c r="I661" i="1"/>
  <c r="H672" i="1"/>
  <c r="C6" i="10" s="1"/>
  <c r="F660" i="1"/>
  <c r="F664" i="1" s="1"/>
  <c r="E145" i="2"/>
  <c r="D31" i="13"/>
  <c r="C31" i="13" s="1"/>
  <c r="C115" i="2"/>
  <c r="C128" i="2"/>
  <c r="G672" i="1"/>
  <c r="C5" i="10" s="1"/>
  <c r="L257" i="1"/>
  <c r="L271" i="1" s="1"/>
  <c r="C51" i="2"/>
  <c r="G631" i="1"/>
  <c r="J631" i="1" s="1"/>
  <c r="G193" i="1"/>
  <c r="G626" i="1"/>
  <c r="J626" i="1" s="1"/>
  <c r="J52" i="1"/>
  <c r="H621" i="1" s="1"/>
  <c r="J621" i="1" s="1"/>
  <c r="C38" i="10"/>
  <c r="G632" i="1" l="1"/>
  <c r="F472" i="1"/>
  <c r="G628" i="1"/>
  <c r="G468" i="1"/>
  <c r="I660" i="1"/>
  <c r="I664" i="1" s="1"/>
  <c r="I672" i="1" s="1"/>
  <c r="C7" i="10" s="1"/>
  <c r="D33" i="13"/>
  <c r="D36" i="13" s="1"/>
  <c r="C145" i="2"/>
  <c r="D18" i="10"/>
  <c r="D12" i="10"/>
  <c r="D27" i="10"/>
  <c r="D17" i="10"/>
  <c r="D11" i="10"/>
  <c r="D22" i="10"/>
  <c r="D13" i="10"/>
  <c r="D21" i="10"/>
  <c r="D24" i="10"/>
  <c r="D16" i="10"/>
  <c r="D10" i="10"/>
  <c r="D26" i="10"/>
  <c r="C30" i="10"/>
  <c r="D23" i="10"/>
  <c r="D20" i="10"/>
  <c r="D15" i="10"/>
  <c r="D25" i="10"/>
  <c r="F672" i="1"/>
  <c r="C4" i="10" s="1"/>
  <c r="F667" i="1"/>
  <c r="C41" i="10"/>
  <c r="D38" i="10" s="1"/>
  <c r="J632" i="1" l="1"/>
  <c r="H632" i="1"/>
  <c r="F474" i="1"/>
  <c r="F476" i="1" s="1"/>
  <c r="H622" i="1" s="1"/>
  <c r="J622" i="1" s="1"/>
  <c r="J628" i="1"/>
  <c r="H628" i="1"/>
  <c r="G470" i="1"/>
  <c r="G476" i="1" s="1"/>
  <c r="H623" i="1" s="1"/>
  <c r="I667" i="1"/>
  <c r="D28" i="10"/>
  <c r="D37" i="10"/>
  <c r="D36" i="10"/>
  <c r="D35" i="10"/>
  <c r="D40" i="10"/>
  <c r="D39" i="10"/>
  <c r="J623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<sst xmlns="http://schemas.openxmlformats.org/spreadsheetml/2006/main" count="3954" uniqueCount="912">
  <si>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</si>
  <si>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</si>
  <si>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</si>
  <si>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</si>
  <si>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</si>
  <si>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</si>
  <si>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</si>
  <si>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</si>
  <si>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</si>
  <si>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</si>
  <si>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</si>
  <si>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</si>
  <si>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</si>
  <si>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</si>
  <si>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</si>
  <si>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</si>
  <si>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</si>
  <si>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</si>
  <si>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</si>
  <si>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</si>
  <si>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</si>
  <si>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</si>
  <si>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</si>
  <si>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</si>
  <si>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</si>
  <si>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</si>
  <si>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</si>
  <si>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</si>
  <si>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</si>
  <si>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</si>
  <si>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</si>
  <si>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</si>
  <si>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</si>
  <si>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</si>
  <si>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</si>
  <si>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</si>
  <si>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</si>
  <si>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</si>
  <si>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</si>
  <si>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</si>
  <si>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</si>
  <si>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</si>
  <si>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</si>
  <si>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</si>
  <si>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</si>
  <si>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</si>
  <si>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</si>
  <si>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</si>
  <si>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</si>
  <si>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</si>
  <si>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</si>
  <si>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</si>
  <si>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</si>
  <si>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</si>
  <si>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</si>
  <si>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</si>
  <si>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</si>
  <si>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</si>
  <si>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</si>
  <si>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</si>
  <si>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</si>
  <si>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</si>
  <si>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</si>
  <si>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</si>
  <si>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</si>
  <si>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</si>
  <si>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</si>
  <si>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</si>
  <si>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</si>
  <si>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</si>
  <si>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</si>
  <si>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</si>
  <si>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</si>
  <si>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</si>
  <si>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</si>
  <si>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</si>
  <si>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</si>
  <si>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</si>
  <si>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</si>
  <si>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</si>
  <si>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</si>
  <si>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</si>
  <si>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</si>
  <si>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</si>
  <si>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</si>
  <si>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</si>
  <si>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</si>
  <si>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</si>
  <si>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</si>
  <si>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</si>
  <si>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</si>
  <si>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</si>
  <si>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</si>
  <si>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</si>
  <si>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</si>
  <si>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</si>
  <si>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</si>
  <si>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</si>
  <si>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</si>
  <si>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</si>
  <si>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</si>
  <si>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</si>
  <si>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</si>
  <si>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</si>
  <si>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</si>
  <si>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</si>
  <si>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</si>
  <si>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</si>
  <si>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</si>
  <si>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</si>
  <si>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</si>
  <si>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</si>
  <si>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</si>
  <si>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</si>
  <si>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</si>
  <si>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</si>
  <si>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</si>
  <si>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</si>
  <si>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</si>
  <si>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</si>
  <si>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</si>
  <si>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</si>
  <si>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</si>
  <si>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</si>
  <si>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</si>
  <si>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</si>
  <si>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</si>
  <si>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</si>
  <si>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</si>
  <si>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</si>
  <si>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</si>
  <si>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</si>
  <si>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</si>
  <si>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</si>
  <si>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</si>
  <si>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</si>
  <si>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</si>
  <si>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</si>
  <si>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</si>
  <si>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</si>
  <si>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</si>
  <si>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</si>
  <si>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</si>
  <si>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</si>
  <si>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</si>
  <si>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</si>
  <si>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</si>
  <si>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</si>
  <si>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</si>
  <si>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</si>
  <si>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</si>
  <si>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</si>
  <si>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</si>
  <si>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</si>
  <si>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</si>
  <si>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</si>
  <si>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</si>
  <si>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</si>
  <si>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</si>
  <si>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</si>
  <si>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</si>
  <si>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</si>
  <si>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</si>
  <si>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</si>
  <si>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</si>
  <si>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</si>
  <si>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</si>
  <si>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</si>
  <si>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</si>
  <si>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</si>
  <si>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</si>
  <si>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</si>
  <si>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</si>
  <si>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</si>
  <si>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</si>
  <si>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</si>
  <si>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</si>
  <si>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</si>
  <si>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</si>
  <si>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</si>
  <si>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</si>
  <si>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</si>
  <si>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</si>
  <si>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</si>
  <si>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</si>
  <si>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</si>
  <si>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</si>
  <si>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</si>
  <si>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</si>
  <si>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</si>
  <si>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</si>
  <si>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</si>
  <si>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</si>
  <si>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</si>
  <si>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</si>
  <si>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</si>
  <si>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</si>
  <si>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</si>
  <si>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</si>
  <si>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</si>
  <si>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</si>
  <si>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</si>
  <si>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</si>
  <si>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</si>
  <si>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</si>
  <si>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</si>
  <si>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</si>
  <si>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</si>
  <si>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</si>
  <si>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</si>
  <si>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</si>
  <si>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</si>
  <si>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</si>
  <si>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</si>
  <si>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</si>
  <si>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</si>
  <si>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</si>
  <si>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</si>
  <si>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</si>
  <si>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</si>
  <si>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</si>
  <si>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</si>
  <si>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</si>
  <si>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</si>
  <si>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</si>
  <si>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</si>
  <si>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</si>
  <si>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</si>
  <si>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</si>
  <si>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</si>
  <si>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</si>
  <si>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</si>
  <si>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</si>
  <si>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</si>
  <si>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</si>
  <si>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</si>
  <si>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</si>
  <si>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</si>
  <si>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</si>
  <si>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</si>
  <si>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</si>
  <si>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</si>
  <si>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</si>
  <si>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</si>
  <si>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</si>
  <si>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</si>
  <si>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</si>
  <si>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</si>
  <si>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</si>
  <si>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</si>
  <si>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</si>
  <si>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</si>
  <si>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</si>
  <si>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</si>
  <si>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</si>
  <si>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</si>
  <si>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</si>
  <si>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</si>
  <si>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</si>
  <si>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</si>
  <si>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</si>
  <si>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</si>
  <si>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</si>
  <si>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</si>
  <si>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</si>
  <si>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</si>
  <si>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</si>
  <si>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</si>
  <si>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</si>
  <si>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</si>
  <si>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</si>
  <si>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</si>
  <si>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</si>
  <si>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</si>
  <si>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</si>
  <si>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</si>
  <si>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</si>
  <si>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</si>
  <si>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</si>
  <si>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</si>
  <si>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</si>
  <si>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</si>
  <si>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</si>
  <si>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</si>
  <si>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</si>
  <si>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</si>
  <si>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</si>
  <si>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</si>
  <si>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</si>
  <si>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</si>
  <si>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</si>
  <si>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</si>
  <si>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</si>
  <si>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</si>
  <si>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</si>
  <si>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</si>
  <si>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</si>
  <si>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</si>
  <si>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</si>
  <si>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</si>
  <si>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</si>
  <si>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</si>
  <si>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</si>
  <si>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</si>
  <si>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</si>
  <si>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</si>
  <si>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</si>
  <si>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</si>
  <si>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</si>
  <si>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</si>
  <si>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</si>
  <si>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</si>
  <si>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</si>
  <si>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</si>
  <si>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</si>
  <si>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</si>
  <si>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</si>
  <si>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</si>
  <si>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</si>
  <si>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</si>
  <si>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</si>
  <si>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</si>
  <si>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</si>
  <si>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</si>
  <si>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</si>
  <si>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</si>
  <si>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</si>
  <si>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</si>
  <si>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</si>
  <si>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</si>
  <si>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</si>
  <si>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</si>
  <si>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</si>
  <si>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</si>
  <si>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</si>
  <si>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</si>
  <si>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</si>
  <si>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</si>
  <si>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</si>
  <si>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</si>
  <si>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</si>
  <si>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</si>
  <si>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</si>
  <si>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</si>
  <si>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</si>
  <si>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</si>
  <si>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</si>
  <si>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</si>
  <si>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</si>
  <si>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</si>
  <si>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</si>
  <si>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</si>
  <si>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</si>
  <si>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</si>
  <si>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</si>
  <si>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</si>
  <si>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</si>
  <si>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</si>
  <si>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</si>
  <si>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</si>
  <si>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</si>
  <si>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</si>
  <si>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</si>
  <si>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</si>
  <si>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</si>
  <si>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</si>
  <si>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</si>
  <si>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</si>
  <si>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</si>
  <si>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</si>
  <si>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</si>
  <si>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</si>
  <si>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</si>
  <si>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</si>
  <si>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</si>
  <si>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</si>
  <si>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</si>
  <si>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</si>
  <si>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</si>
  <si>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</si>
  <si>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</si>
  <si>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</si>
  <si>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</si>
  <si>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</si>
  <si>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</si>
  <si>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</si>
  <si>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</si>
  <si>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</si>
  <si>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</si>
  <si>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</si>
  <si>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</si>
  <si>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</si>
  <si>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</si>
  <si>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</si>
  <si>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</si>
  <si>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</si>
  <si>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</si>
  <si>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</si>
  <si>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</si>
  <si>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</si>
  <si>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</si>
  <si>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</si>
  <si>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</si>
  <si>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</si>
  <si>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</si>
  <si>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</si>
  <si>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</si>
  <si>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</si>
  <si>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</si>
  <si>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</si>
  <si>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</si>
  <si>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</si>
  <si>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</si>
  <si>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</si>
  <si>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</si>
  <si>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</si>
  <si>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</si>
  <si>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</si>
  <si>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</si>
  <si>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</si>
  <si>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</si>
  <si>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</si>
  <si>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</si>
  <si>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</si>
  <si>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</si>
  <si>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</si>
  <si>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</si>
  <si>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</si>
  <si>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</si>
  <si>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</si>
  <si>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</si>
  <si>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</si>
  <si>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</si>
  <si>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</si>
  <si>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</si>
  <si>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</si>
  <si>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</si>
  <si>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</si>
  <si>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</si>
  <si>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</si>
  <si>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</si>
  <si>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</si>
  <si>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</si>
  <si>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</si>
  <si>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</si>
  <si>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</si>
  <si>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</si>
  <si>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</si>
  <si>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</si>
  <si>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</si>
  <si>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</si>
  <si>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</si>
  <si>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</si>
  <si>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</si>
  <si>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</si>
  <si>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</si>
  <si>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</si>
  <si>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</si>
  <si>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</si>
  <si>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</si>
  <si>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</si>
  <si>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</si>
  <si>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</si>
  <si>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</si>
  <si>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</si>
  <si>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</si>
  <si>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</si>
  <si>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</si>
  <si>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</si>
  <si>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</si>
  <si>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</si>
  <si>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</si>
  <si>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</si>
  <si>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</si>
  <si>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</si>
  <si>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</si>
  <si>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</si>
  <si>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</si>
  <si>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</si>
  <si>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</si>
  <si>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</si>
  <si>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</si>
  <si>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</si>
  <si>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</si>
  <si>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</si>
  <si>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</si>
  <si>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</si>
  <si>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</si>
  <si>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</si>
  <si>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</si>
  <si>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</si>
  <si>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</si>
  <si>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</si>
  <si>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</si>
  <si>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</si>
  <si>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</si>
  <si>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</si>
  <si>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</si>
  <si>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</si>
  <si>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</si>
  <si>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</si>
  <si>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</si>
  <si>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</si>
  <si>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</si>
  <si>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</si>
  <si>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</si>
  <si>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</si>
  <si>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</si>
  <si>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</si>
  <si>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</si>
  <si>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</si>
  <si>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</si>
  <si>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</si>
  <si>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</si>
  <si>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</si>
  <si>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</si>
  <si>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</si>
  <si>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</si>
  <si>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</si>
  <si>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</si>
  <si>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</si>
  <si>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</si>
  <si>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</si>
  <si>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</si>
  <si>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</si>
  <si>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</si>
  <si>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</si>
  <si>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</si>
  <si>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</si>
  <si>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</si>
  <si>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</si>
  <si>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</si>
  <si>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</si>
  <si>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</si>
  <si>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</si>
  <si>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</si>
  <si>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</si>
  <si>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</si>
  <si>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</si>
  <si>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</si>
  <si>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</si>
  <si>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</si>
  <si>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</si>
  <si>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</si>
  <si>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</si>
  <si>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</si>
  <si>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</si>
  <si>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</si>
  <si>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</si>
  <si>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</si>
  <si>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</si>
  <si>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</si>
  <si>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</si>
  <si>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</si>
  <si>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</si>
  <si>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</si>
  <si>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</si>
  <si>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</si>
  <si>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</si>
  <si>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</si>
  <si>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</si>
  <si>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</si>
  <si>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</si>
  <si>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</si>
  <si>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</si>
  <si>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</si>
  <si>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</si>
  <si>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</si>
  <si>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</si>
  <si>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</si>
  <si>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</si>
  <si>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</si>
  <si>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</si>
  <si>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</si>
  <si>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</si>
  <si>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</si>
  <si>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</si>
  <si>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</si>
  <si>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</si>
  <si>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</si>
  <si>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</si>
  <si>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</si>
  <si>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</si>
  <si>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</si>
  <si>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</si>
  <si>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</si>
  <si>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</si>
  <si>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</si>
  <si>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</si>
  <si>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</si>
  <si>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</si>
  <si>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</si>
  <si>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</si>
  <si>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</si>
  <si>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</si>
  <si>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</si>
  <si>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</si>
  <si>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</si>
  <si>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</si>
  <si>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</si>
  <si>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</si>
  <si>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</si>
  <si>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</si>
  <si>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</si>
  <si>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</si>
  <si>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</si>
  <si>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</si>
  <si>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</si>
  <si>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</si>
  <si>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</si>
  <si>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</si>
  <si>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</si>
  <si>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</si>
  <si>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</si>
  <si>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</si>
  <si>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</si>
  <si>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</si>
  <si>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</si>
  <si>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</si>
  <si>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</si>
  <si>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</si>
  <si>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</si>
  <si>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</si>
  <si>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</si>
  <si>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</si>
  <si>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</si>
  <si>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</si>
  <si>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</si>
  <si>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</si>
  <si>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</si>
  <si>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</si>
  <si>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</si>
  <si>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</si>
  <si>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</si>
  <si>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</si>
  <si>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</si>
  <si>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</si>
  <si>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</si>
  <si>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</si>
  <si>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</si>
  <si>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</si>
  <si>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</si>
  <si>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</si>
  <si>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</si>
  <si>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</si>
  <si>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</si>
  <si>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</si>
  <si>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</si>
  <si>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</si>
  <si>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</si>
  <si>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</si>
  <si>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</si>
  <si>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</si>
  <si>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</si>
  <si>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</si>
  <si>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</si>
  <si>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</si>
  <si>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</si>
  <si>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</si>
  <si>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</si>
  <si>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</si>
  <si>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</si>
  <si>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</si>
  <si>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</si>
  <si>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</si>
  <si>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</si>
  <si>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</si>
  <si>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</si>
  <si>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</si>
  <si>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</si>
  <si>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</si>
  <si>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</si>
  <si>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</si>
  <si>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</si>
  <si>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</si>
  <si>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</si>
  <si>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</si>
  <si>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</si>
  <si>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</si>
  <si>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</si>
  <si>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</si>
  <si>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</si>
  <si>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</si>
  <si>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</si>
  <si>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</si>
  <si>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</si>
  <si>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</si>
  <si>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</si>
  <si>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</si>
  <si>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</si>
  <si>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</si>
  <si>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</si>
  <si>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</si>
  <si>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</si>
  <si>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</si>
  <si>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</si>
  <si>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</si>
  <si>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</si>
  <si>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</si>
  <si>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</si>
  <si>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</si>
  <si>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</si>
  <si>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</si>
  <si>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</si>
  <si>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</si>
  <si>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</si>
  <si>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</si>
  <si>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</si>
  <si>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</si>
  <si>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</si>
  <si>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</si>
  <si>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</si>
  <si>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</si>
  <si>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</si>
  <si>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</si>
  <si>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</si>
  <si>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</si>
  <si>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</si>
  <si>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</si>
  <si>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</si>
  <si>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</si>
  <si>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</si>
  <si>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</si>
  <si>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</si>
  <si>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</si>
  <si>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</si>
  <si>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</si>
  <si>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</si>
  <si>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</si>
  <si>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</si>
  <si>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</si>
  <si>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</si>
  <si>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</si>
  <si>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</si>
  <si>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</si>
  <si>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</si>
  <si>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</si>
  <si>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</si>
  <si>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</si>
  <si>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</si>
  <si>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</si>
  <si>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</si>
  <si>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</si>
  <si>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</si>
  <si>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</si>
  <si>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</si>
  <si>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</si>
  <si>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</si>
  <si>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</si>
  <si>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</si>
  <si>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</si>
  <si>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</si>
  <si>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</si>
  <si>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</si>
  <si>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</si>
  <si>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</si>
  <si>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</si>
  <si>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</si>
  <si>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</si>
  <si>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</si>
  <si>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</si>
  <si>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</si>
  <si>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</si>
  <si>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</si>
  <si>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</si>
  <si>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</si>
  <si>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</si>
  <si>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</si>
  <si>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</si>
  <si>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</si>
  <si>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</si>
  <si>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</si>
  <si>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</si>
  <si>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</si>
  <si>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</si>
  <si>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</si>
  <si>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</si>
  <si>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</si>
  <si>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</si>
  <si>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</si>
  <si>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</si>
  <si>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</si>
  <si>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</si>
  <si>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</si>
  <si>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</si>
  <si>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</si>
  <si>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</si>
  <si>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</si>
  <si>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</si>
  <si>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</si>
  <si>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</si>
  <si>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</si>
  <si>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</si>
  <si>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</si>
  <si>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</si>
  <si>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</si>
  <si>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</si>
  <si>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</si>
  <si>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</si>
  <si>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</si>
  <si>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</si>
  <si>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</si>
  <si>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</si>
  <si>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</si>
  <si>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</si>
  <si>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</si>
  <si>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</si>
  <si>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</si>
  <si>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</si>
  <si>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</si>
  <si>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</si>
  <si>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</si>
  <si>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</si>
  <si>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</si>
  <si>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</si>
  <si>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</si>
  <si>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</si>
  <si>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</si>
  <si>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</si>
  <si>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</si>
  <si>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</si>
  <si>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</si>
  <si>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</si>
  <si>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</si>
  <si>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</si>
  <si>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</si>
  <si>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</si>
  <si>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</si>
  <si>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</si>
  <si>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</si>
  <si>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</si>
  <si>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</si>
  <si>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</si>
  <si>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</si>
  <si>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</si>
  <si>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</si>
  <si>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</si>
  <si>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</si>
  <si>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</si>
  <si>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</si>
  <si>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</si>
  <si>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</si>
  <si>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</si>
  <si>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</si>
  <si>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</si>
  <si>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</si>
  <si>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</si>
  <si>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</si>
  <si>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</si>
  <si>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</si>
  <si>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</si>
  <si>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</si>
  <si>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</si>
  <si>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</si>
  <si>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</si>
  <si>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</si>
  <si>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</si>
  <si>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</si>
  <si>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</si>
  <si>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</si>
  <si>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</si>
  <si>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</si>
  <si>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</si>
  <si>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</si>
  <si>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</si>
  <si>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</si>
  <si>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</si>
  <si>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</si>
  <si>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</si>
  <si>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</si>
  <si>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</si>
  <si>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</si>
  <si>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</si>
  <si>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</si>
  <si>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</si>
  <si>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</si>
  <si>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</si>
  <si>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</si>
  <si>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</si>
  <si>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</si>
  <si>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</si>
  <si>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</si>
  <si>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</si>
  <si>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</si>
  <si>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</si>
  <si>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</si>
  <si>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</si>
  <si>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</si>
  <si>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</si>
  <si>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</si>
  <si>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</si>
  <si>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</si>
  <si>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</si>
  <si>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</si>
  <si>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</si>
  <si>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</si>
  <si>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</si>
  <si>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</si>
  <si>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</si>
  <si>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</si>
  <si>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</si>
  <si>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</si>
  <si>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</si>
  <si>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</si>
  <si>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</si>
  <si>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</si>
  <si>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</si>
  <si>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</si>
  <si>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</si>
  <si>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</si>
  <si>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</si>
  <si>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New Boston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</si>
</sst>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377</v>
      </c>
      <c r="C2" s="21">
        <v>377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1029990</v>
      </c>
      <c r="G9" s="18">
        <f>3592-3291</f>
        <v>301</v>
      </c>
      <c r="H9" s="18">
        <v>10268</v>
      </c>
      <c r="I9" s="18">
        <v>15295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14111</v>
      </c>
      <c r="H13" s="18">
        <v>839</v>
      </c>
      <c r="I13" s="18"/>
      <c r="J13" s="67">
        <f>SUM(I442)</f>
        <v>320044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5661</v>
      </c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5218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1040869</v>
      </c>
      <c r="G19" s="41">
        <f>SUM(G9:G18)</f>
        <v>14412</v>
      </c>
      <c r="H19" s="41">
        <f>SUM(H9:H18)</f>
        <v>11107</v>
      </c>
      <c r="I19" s="41">
        <f>SUM(I9:I18)</f>
        <v>15295</v>
      </c>
      <c r="J19" s="41">
        <f>SUM(J9:J18)</f>
        <v>320044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352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19488</v>
      </c>
      <c r="G24" s="18">
        <v>14412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550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180</v>
      </c>
      <c r="G30" s="18"/>
      <c r="H30" s="18">
        <v>6999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20218</v>
      </c>
      <c r="G32" s="41">
        <f>SUM(G22:G31)</f>
        <v>14412</v>
      </c>
      <c r="H32" s="41">
        <f>SUM(H22:H31)</f>
        <v>7351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5661</v>
      </c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5218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30000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82585</v>
      </c>
      <c r="G48" s="18"/>
      <c r="H48" s="18">
        <v>65</v>
      </c>
      <c r="I48" s="18">
        <v>15295</v>
      </c>
      <c r="J48" s="13">
        <f>SUM(I459)</f>
        <v>320044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202430</v>
      </c>
      <c r="G49" s="18"/>
      <c r="H49" s="18">
        <v>3691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694757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1020651</v>
      </c>
      <c r="G51" s="41">
        <f>SUM(G35:G50)</f>
        <v>0</v>
      </c>
      <c r="H51" s="41">
        <f>SUM(H35:H50)</f>
        <v>3756</v>
      </c>
      <c r="I51" s="41">
        <f>SUM(I35:I50)</f>
        <v>15295</v>
      </c>
      <c r="J51" s="41">
        <f>SUM(J35:J50)</f>
        <v>320044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1040869</v>
      </c>
      <c r="G52" s="41">
        <f>G51+G32</f>
        <v>14412</v>
      </c>
      <c r="H52" s="41">
        <f>H51+H32</f>
        <v>11107</v>
      </c>
      <c r="I52" s="41">
        <f>I51+I32</f>
        <v>15295</v>
      </c>
      <c r="J52" s="41">
        <f>J51+J32</f>
        <v>320044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8175883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8175883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2190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2190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2136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43866+4957+3410+32214</f>
        <v>84447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11523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10440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12576</v>
      </c>
      <c r="G111" s="41">
        <f>SUM(G96:G110)</f>
        <v>84447</v>
      </c>
      <c r="H111" s="41">
        <f>SUM(H96:H110)</f>
        <v>11523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8190649</v>
      </c>
      <c r="G112" s="41">
        <f>G60+G111</f>
        <v>84447</v>
      </c>
      <c r="H112" s="41">
        <f>H60+H79+H94+H111</f>
        <v>11523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2310546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1280646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3591192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1874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1874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3591192</v>
      </c>
      <c r="G140" s="41">
        <f>G121+SUM(G136:G137)</f>
        <v>1874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25479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23387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24597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99659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99659</v>
      </c>
      <c r="G162" s="41">
        <f>SUM(G150:G161)</f>
        <v>24597</v>
      </c>
      <c r="H162" s="41">
        <f>SUM(H150:H161)</f>
        <v>48866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>
        <v>13899</v>
      </c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99659</v>
      </c>
      <c r="G169" s="41">
        <f>G147+G162+SUM(G163:G168)</f>
        <v>38496</v>
      </c>
      <c r="H169" s="41">
        <f>H147+H162+SUM(H163:H168)</f>
        <v>48866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14412</v>
      </c>
      <c r="H179" s="18"/>
      <c r="I179" s="18"/>
      <c r="J179" s="18">
        <v>100376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14412</v>
      </c>
      <c r="H183" s="41">
        <f>SUM(H179:H182)</f>
        <v>0</v>
      </c>
      <c r="I183" s="41">
        <f>SUM(I179:I182)</f>
        <v>0</v>
      </c>
      <c r="J183" s="41">
        <f>SUM(J179:J182)</f>
        <v>100376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14412</v>
      </c>
      <c r="H192" s="41">
        <f>+H183+SUM(H188:H191)</f>
        <v>0</v>
      </c>
      <c r="I192" s="41">
        <f>I177+I183+SUM(I188:I191)</f>
        <v>0</v>
      </c>
      <c r="J192" s="41">
        <f>J183</f>
        <v>100376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11881500</v>
      </c>
      <c r="G193" s="47">
        <f>G112+G140+G169+G192</f>
        <v>139229</v>
      </c>
      <c r="H193" s="47">
        <f>H112+H140+H169+H192</f>
        <v>60389</v>
      </c>
      <c r="I193" s="47">
        <f>I112+I140+I169+I192</f>
        <v>0</v>
      </c>
      <c r="J193" s="47">
        <f>J112+J140+J192</f>
        <v>100376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1611055</v>
      </c>
      <c r="G197" s="18">
        <v>796434</v>
      </c>
      <c r="H197" s="18">
        <v>29028</v>
      </c>
      <c r="I197" s="18">
        <v>104181</v>
      </c>
      <c r="J197" s="18">
        <v>54510</v>
      </c>
      <c r="K197" s="18">
        <v>138</v>
      </c>
      <c r="L197" s="19">
        <f>SUM(F197:K197)</f>
        <v>2595346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798385</v>
      </c>
      <c r="G198" s="18">
        <v>423107</v>
      </c>
      <c r="H198" s="18">
        <v>38239</v>
      </c>
      <c r="I198" s="18">
        <v>10268</v>
      </c>
      <c r="J198" s="18">
        <v>4141</v>
      </c>
      <c r="K198" s="18"/>
      <c r="L198" s="19">
        <f>SUM(F198:K198)</f>
        <v>1274140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46586</v>
      </c>
      <c r="G200" s="18">
        <v>8918</v>
      </c>
      <c r="H200" s="18"/>
      <c r="I200" s="18"/>
      <c r="J200" s="18"/>
      <c r="K200" s="18"/>
      <c r="L200" s="19">
        <f>SUM(F200:K200)</f>
        <v>55504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269135</v>
      </c>
      <c r="G202" s="18">
        <v>131333</v>
      </c>
      <c r="H202" s="18">
        <v>52528</v>
      </c>
      <c r="I202" s="18">
        <v>7091</v>
      </c>
      <c r="J202" s="18">
        <v>142</v>
      </c>
      <c r="K202" s="18"/>
      <c r="L202" s="19">
        <f t="shared" ref="L202:L208" si="0">SUM(F202:K202)</f>
        <v>460229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82578</v>
      </c>
      <c r="G203" s="18">
        <v>35807</v>
      </c>
      <c r="H203" s="18">
        <v>3657</v>
      </c>
      <c r="I203" s="18">
        <v>14758</v>
      </c>
      <c r="J203" s="18"/>
      <c r="K203" s="18">
        <v>180</v>
      </c>
      <c r="L203" s="19">
        <f t="shared" si="0"/>
        <v>136980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4050</v>
      </c>
      <c r="G204" s="18">
        <v>359</v>
      </c>
      <c r="H204" s="18">
        <v>311411</v>
      </c>
      <c r="I204" s="18">
        <v>160</v>
      </c>
      <c r="J204" s="18"/>
      <c r="K204" s="18">
        <v>4585</v>
      </c>
      <c r="L204" s="19">
        <f t="shared" si="0"/>
        <v>320565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311638</v>
      </c>
      <c r="G205" s="18">
        <v>107094</v>
      </c>
      <c r="H205" s="18">
        <v>9743</v>
      </c>
      <c r="I205" s="18">
        <v>500</v>
      </c>
      <c r="J205" s="18"/>
      <c r="K205" s="18">
        <v>385</v>
      </c>
      <c r="L205" s="19">
        <f t="shared" si="0"/>
        <v>429360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156116</v>
      </c>
      <c r="G207" s="18">
        <v>55347</v>
      </c>
      <c r="H207" s="18">
        <v>187965</v>
      </c>
      <c r="I207" s="18">
        <v>139770</v>
      </c>
      <c r="J207" s="18">
        <v>1010</v>
      </c>
      <c r="K207" s="18"/>
      <c r="L207" s="19">
        <f t="shared" si="0"/>
        <v>540208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553625</v>
      </c>
      <c r="I208" s="18"/>
      <c r="J208" s="18"/>
      <c r="K208" s="18"/>
      <c r="L208" s="19">
        <f t="shared" si="0"/>
        <v>553625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3279543</v>
      </c>
      <c r="G211" s="41">
        <f t="shared" si="1"/>
        <v>1558399</v>
      </c>
      <c r="H211" s="41">
        <f t="shared" si="1"/>
        <v>1186196</v>
      </c>
      <c r="I211" s="41">
        <f t="shared" si="1"/>
        <v>276728</v>
      </c>
      <c r="J211" s="41">
        <f t="shared" si="1"/>
        <v>59803</v>
      </c>
      <c r="K211" s="41">
        <f t="shared" si="1"/>
        <v>5288</v>
      </c>
      <c r="L211" s="41">
        <f t="shared" si="1"/>
        <v>6365957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1534652</v>
      </c>
      <c r="I215" s="18"/>
      <c r="J215" s="18"/>
      <c r="K215" s="18"/>
      <c r="L215" s="19">
        <f>SUM(F215:K215)</f>
        <v>1534652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104912</v>
      </c>
      <c r="I216" s="18"/>
      <c r="J216" s="18"/>
      <c r="K216" s="18"/>
      <c r="L216" s="19">
        <f>SUM(F216:K216)</f>
        <v>104912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7190</v>
      </c>
      <c r="I226" s="18"/>
      <c r="J226" s="18"/>
      <c r="K226" s="18"/>
      <c r="L226" s="19">
        <f t="shared" si="2"/>
        <v>7190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1646754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1646754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3245708</v>
      </c>
      <c r="I233" s="18"/>
      <c r="J233" s="18"/>
      <c r="K233" s="18"/>
      <c r="L233" s="19">
        <f>SUM(F233:K233)</f>
        <v>3245708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399934</v>
      </c>
      <c r="I234" s="18"/>
      <c r="J234" s="18"/>
      <c r="K234" s="18"/>
      <c r="L234" s="19">
        <f>SUM(F234:K234)</f>
        <v>399934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59663</v>
      </c>
      <c r="I244" s="18"/>
      <c r="J244" s="18"/>
      <c r="K244" s="18"/>
      <c r="L244" s="19">
        <f t="shared" si="4"/>
        <v>59663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3705305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3705305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3279543</v>
      </c>
      <c r="G257" s="41">
        <f t="shared" si="8"/>
        <v>1558399</v>
      </c>
      <c r="H257" s="41">
        <f t="shared" si="8"/>
        <v>6538255</v>
      </c>
      <c r="I257" s="41">
        <f t="shared" si="8"/>
        <v>276728</v>
      </c>
      <c r="J257" s="41">
        <f t="shared" si="8"/>
        <v>59803</v>
      </c>
      <c r="K257" s="41">
        <f t="shared" si="8"/>
        <v>5288</v>
      </c>
      <c r="L257" s="41">
        <f t="shared" si="8"/>
        <v>11718016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14412</v>
      </c>
      <c r="L263" s="19">
        <f>SUM(F263:K263)</f>
        <v>14412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100376</v>
      </c>
      <c r="L266" s="19">
        <f t="shared" si="9"/>
        <v>100376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114788</v>
      </c>
      <c r="L270" s="41">
        <f t="shared" si="9"/>
        <v>114788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3279543</v>
      </c>
      <c r="G271" s="42">
        <f t="shared" si="11"/>
        <v>1558399</v>
      </c>
      <c r="H271" s="42">
        <f t="shared" si="11"/>
        <v>6538255</v>
      </c>
      <c r="I271" s="42">
        <f t="shared" si="11"/>
        <v>276728</v>
      </c>
      <c r="J271" s="42">
        <f t="shared" si="11"/>
        <v>59803</v>
      </c>
      <c r="K271" s="42">
        <f t="shared" si="11"/>
        <v>120076</v>
      </c>
      <c r="L271" s="42">
        <f t="shared" si="11"/>
        <v>11832804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>
        <v>3600</v>
      </c>
      <c r="I276" s="18">
        <f>24899+390</f>
        <v>25289</v>
      </c>
      <c r="J276" s="18">
        <v>531</v>
      </c>
      <c r="K276" s="18"/>
      <c r="L276" s="19">
        <f>SUM(F276:K276)</f>
        <v>29420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23074</v>
      </c>
      <c r="G277" s="18">
        <v>4457</v>
      </c>
      <c r="H277" s="18"/>
      <c r="I277" s="18"/>
      <c r="J277" s="18"/>
      <c r="K277" s="18"/>
      <c r="L277" s="19">
        <f>SUM(F277:K277)</f>
        <v>27531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10304</v>
      </c>
      <c r="G279" s="18">
        <v>778</v>
      </c>
      <c r="H279" s="18"/>
      <c r="I279" s="18"/>
      <c r="J279" s="18"/>
      <c r="K279" s="18"/>
      <c r="L279" s="19">
        <f>SUM(F279:K279)</f>
        <v>11082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f>1824-323</f>
        <v>1501</v>
      </c>
      <c r="I282" s="18">
        <v>547</v>
      </c>
      <c r="J282" s="18"/>
      <c r="K282" s="18"/>
      <c r="L282" s="19">
        <f t="shared" si="12"/>
        <v>2048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33378</v>
      </c>
      <c r="G290" s="42">
        <f t="shared" si="13"/>
        <v>5235</v>
      </c>
      <c r="H290" s="42">
        <f t="shared" si="13"/>
        <v>5101</v>
      </c>
      <c r="I290" s="42">
        <f t="shared" si="13"/>
        <v>25836</v>
      </c>
      <c r="J290" s="42">
        <f t="shared" si="13"/>
        <v>531</v>
      </c>
      <c r="K290" s="42">
        <f t="shared" si="13"/>
        <v>0</v>
      </c>
      <c r="L290" s="41">
        <f t="shared" si="13"/>
        <v>70081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33378</v>
      </c>
      <c r="G338" s="41">
        <f t="shared" si="20"/>
        <v>5235</v>
      </c>
      <c r="H338" s="41">
        <f t="shared" si="20"/>
        <v>5101</v>
      </c>
      <c r="I338" s="41">
        <f t="shared" si="20"/>
        <v>25836</v>
      </c>
      <c r="J338" s="41">
        <f t="shared" si="20"/>
        <v>531</v>
      </c>
      <c r="K338" s="41">
        <f t="shared" si="20"/>
        <v>0</v>
      </c>
      <c r="L338" s="41">
        <f t="shared" si="20"/>
        <v>70081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33378</v>
      </c>
      <c r="G352" s="41">
        <f>G338</f>
        <v>5235</v>
      </c>
      <c r="H352" s="41">
        <f>H338</f>
        <v>5101</v>
      </c>
      <c r="I352" s="41">
        <f>I338</f>
        <v>25836</v>
      </c>
      <c r="J352" s="41">
        <f>J338</f>
        <v>531</v>
      </c>
      <c r="K352" s="47">
        <f>K338+K351</f>
        <v>0</v>
      </c>
      <c r="L352" s="41">
        <f>L338+L351</f>
        <v>70081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53972</v>
      </c>
      <c r="G358" s="18">
        <v>7746</v>
      </c>
      <c r="H358" s="18">
        <v>3033</v>
      </c>
      <c r="I358" s="18">
        <v>80973</v>
      </c>
      <c r="J358" s="18">
        <v>4998</v>
      </c>
      <c r="K358" s="18">
        <v>576</v>
      </c>
      <c r="L358" s="13">
        <f>SUM(F358:K358)</f>
        <v>151298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53972</v>
      </c>
      <c r="G362" s="47">
        <f t="shared" si="22"/>
        <v>7746</v>
      </c>
      <c r="H362" s="47">
        <f t="shared" si="22"/>
        <v>3033</v>
      </c>
      <c r="I362" s="47">
        <f t="shared" si="22"/>
        <v>80973</v>
      </c>
      <c r="J362" s="47">
        <f t="shared" si="22"/>
        <v>4998</v>
      </c>
      <c r="K362" s="47">
        <f t="shared" si="22"/>
        <v>576</v>
      </c>
      <c r="L362" s="47">
        <f t="shared" si="22"/>
        <v>151298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73660</v>
      </c>
      <c r="G367" s="18"/>
      <c r="H367" s="18"/>
      <c r="I367" s="56">
        <f>SUM(F367:H367)</f>
        <v>73660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7313</v>
      </c>
      <c r="G368" s="63"/>
      <c r="H368" s="63"/>
      <c r="I368" s="56">
        <f>SUM(F368:H368)</f>
        <v>7313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80973</v>
      </c>
      <c r="G369" s="47">
        <f>SUM(G367:G368)</f>
        <v>0</v>
      </c>
      <c r="H369" s="47">
        <f>SUM(H367:H368)</f>
        <v>0</v>
      </c>
      <c r="I369" s="47">
        <f>SUM(I367:I368)</f>
        <v>80973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50376</v>
      </c>
      <c r="H396" s="18"/>
      <c r="I396" s="18"/>
      <c r="J396" s="24" t="s">
        <v>289</v>
      </c>
      <c r="K396" s="24" t="s">
        <v>289</v>
      </c>
      <c r="L396" s="56">
        <f t="shared" si="26"/>
        <v>50376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/>
      <c r="I397" s="18"/>
      <c r="J397" s="24" t="s">
        <v>289</v>
      </c>
      <c r="K397" s="24" t="s">
        <v>289</v>
      </c>
      <c r="L397" s="56">
        <f t="shared" si="26"/>
        <v>50000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100376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100376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100376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100376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320044</v>
      </c>
      <c r="G442" s="18"/>
      <c r="H442" s="18"/>
      <c r="I442" s="56">
        <f t="shared" si="33"/>
        <v>320044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320044</v>
      </c>
      <c r="G446" s="13">
        <f>SUM(G439:G445)</f>
        <v>0</v>
      </c>
      <c r="H446" s="13">
        <f>SUM(H439:H445)</f>
        <v>0</v>
      </c>
      <c r="I446" s="13">
        <f>SUM(I439:I445)</f>
        <v>320044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219668+100376</f>
        <v>320044</v>
      </c>
      <c r="G459" s="18"/>
      <c r="H459" s="18"/>
      <c r="I459" s="56">
        <f t="shared" si="34"/>
        <v>320044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320044</v>
      </c>
      <c r="G460" s="83">
        <f>SUM(G454:G459)</f>
        <v>0</v>
      </c>
      <c r="H460" s="83">
        <f>SUM(H454:H459)</f>
        <v>0</v>
      </c>
      <c r="I460" s="83">
        <f>SUM(I454:I459)</f>
        <v>320044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320044</v>
      </c>
      <c r="G461" s="42">
        <f>G452+G460</f>
        <v>0</v>
      </c>
      <c r="H461" s="42">
        <f>H452+H460</f>
        <v>0</v>
      </c>
      <c r="I461" s="42">
        <f>I452+I460</f>
        <v>320044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971955</v>
      </c>
      <c r="G465" s="18">
        <v>12069</v>
      </c>
      <c r="H465" s="18">
        <v>13448</v>
      </c>
      <c r="I465" s="18">
        <v>15295</v>
      </c>
      <c r="J465" s="18">
        <f>320044-100376</f>
        <v>219668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11881500</v>
      </c>
      <c r="G468" s="18">
        <f>G193</f>
        <v>139229</v>
      </c>
      <c r="H468" s="18">
        <f>H193</f>
        <v>60389</v>
      </c>
      <c r="I468" s="18"/>
      <c r="J468" s="18">
        <v>100376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11881500</v>
      </c>
      <c r="G470" s="53">
        <f>SUM(G468:G469)</f>
        <v>139229</v>
      </c>
      <c r="H470" s="53">
        <f>SUM(H468:H469)</f>
        <v>60389</v>
      </c>
      <c r="I470" s="53">
        <f>SUM(I468:I469)</f>
        <v>0</v>
      </c>
      <c r="J470" s="53">
        <f>SUM(J468:J469)</f>
        <v>100376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11832804</v>
      </c>
      <c r="G472" s="18">
        <f>L362</f>
        <v>151298</v>
      </c>
      <c r="H472" s="18">
        <f>L352</f>
        <v>70081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11832804</v>
      </c>
      <c r="G474" s="53">
        <f>SUM(G472:G473)</f>
        <v>151298</v>
      </c>
      <c r="H474" s="53">
        <f>SUM(H472:H473)</f>
        <v>70081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1020651</v>
      </c>
      <c r="G476" s="53">
        <f>(G465+G470)- G474</f>
        <v>0</v>
      </c>
      <c r="H476" s="53">
        <f>(H465+H470)- H474</f>
        <v>3756</v>
      </c>
      <c r="I476" s="53">
        <f>(I465+I470)- I474</f>
        <v>15295</v>
      </c>
      <c r="J476" s="53">
        <f>(J465+J470)- J474</f>
        <v>320044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F198+F277</f>
        <v>821459</v>
      </c>
      <c r="G521" s="18">
        <f>G198+G277</f>
        <v>427564</v>
      </c>
      <c r="H521" s="18">
        <f>H198</f>
        <v>38239</v>
      </c>
      <c r="I521" s="18">
        <f>I198</f>
        <v>10268</v>
      </c>
      <c r="J521" s="18">
        <f>J198</f>
        <v>4141</v>
      </c>
      <c r="K521" s="18">
        <f>K198</f>
        <v>0</v>
      </c>
      <c r="L521" s="88">
        <f>SUM(F521:K521)</f>
        <v>1301671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f>H216</f>
        <v>104912</v>
      </c>
      <c r="I522" s="18"/>
      <c r="J522" s="18"/>
      <c r="K522" s="18"/>
      <c r="L522" s="88">
        <f>SUM(F522:K522)</f>
        <v>104912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f>H234</f>
        <v>399934</v>
      </c>
      <c r="I523" s="18"/>
      <c r="J523" s="18"/>
      <c r="K523" s="18"/>
      <c r="L523" s="88">
        <f>SUM(F523:K523)</f>
        <v>399934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821459</v>
      </c>
      <c r="G524" s="108">
        <f t="shared" ref="G524:L524" si="36">SUM(G521:G523)</f>
        <v>427564</v>
      </c>
      <c r="H524" s="108">
        <f t="shared" si="36"/>
        <v>543085</v>
      </c>
      <c r="I524" s="108">
        <f t="shared" si="36"/>
        <v>10268</v>
      </c>
      <c r="J524" s="108">
        <f t="shared" si="36"/>
        <v>4141</v>
      </c>
      <c r="K524" s="108">
        <f t="shared" si="36"/>
        <v>0</v>
      </c>
      <c r="L524" s="89">
        <f t="shared" si="36"/>
        <v>1806517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163815</v>
      </c>
      <c r="G526" s="18">
        <v>88365</v>
      </c>
      <c r="H526" s="18"/>
      <c r="I526" s="18"/>
      <c r="J526" s="18"/>
      <c r="K526" s="18"/>
      <c r="L526" s="88">
        <f>SUM(F526:K526)</f>
        <v>252180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163815</v>
      </c>
      <c r="G529" s="89">
        <f t="shared" ref="G529:L529" si="37">SUM(G526:G528)</f>
        <v>88365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252180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141170</v>
      </c>
      <c r="G531" s="18">
        <v>50193</v>
      </c>
      <c r="H531" s="18"/>
      <c r="I531" s="18"/>
      <c r="J531" s="18"/>
      <c r="K531" s="18"/>
      <c r="L531" s="88">
        <f>SUM(F531:K531)</f>
        <v>191363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141170</v>
      </c>
      <c r="G534" s="89">
        <f t="shared" ref="G534:L534" si="38">SUM(G531:G533)</f>
        <v>50193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191363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73552</v>
      </c>
      <c r="I541" s="18"/>
      <c r="J541" s="18"/>
      <c r="K541" s="18"/>
      <c r="L541" s="88">
        <f>SUM(F541:K541)</f>
        <v>73552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H226</f>
        <v>7190</v>
      </c>
      <c r="I542" s="18"/>
      <c r="J542" s="18"/>
      <c r="K542" s="18"/>
      <c r="L542" s="88">
        <f>SUM(F542:K542)</f>
        <v>7190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H244</f>
        <v>59663</v>
      </c>
      <c r="I543" s="18"/>
      <c r="J543" s="18"/>
      <c r="K543" s="18"/>
      <c r="L543" s="88">
        <f>SUM(F543:K543)</f>
        <v>59663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140405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140405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1126444</v>
      </c>
      <c r="G545" s="89">
        <f t="shared" ref="G545:L545" si="41">G524+G529+G534+G539+G544</f>
        <v>566122</v>
      </c>
      <c r="H545" s="89">
        <f t="shared" si="41"/>
        <v>683490</v>
      </c>
      <c r="I545" s="89">
        <f t="shared" si="41"/>
        <v>10268</v>
      </c>
      <c r="J545" s="89">
        <f t="shared" si="41"/>
        <v>4141</v>
      </c>
      <c r="K545" s="89">
        <f t="shared" si="41"/>
        <v>0</v>
      </c>
      <c r="L545" s="89">
        <f t="shared" si="41"/>
        <v>2390465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1301671</v>
      </c>
      <c r="G549" s="87">
        <f>L526</f>
        <v>252180</v>
      </c>
      <c r="H549" s="87">
        <f>L531</f>
        <v>191363</v>
      </c>
      <c r="I549" s="87">
        <f>L536</f>
        <v>0</v>
      </c>
      <c r="J549" s="87">
        <f>L541</f>
        <v>73552</v>
      </c>
      <c r="K549" s="87">
        <f>SUM(F549:J549)</f>
        <v>1818766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104912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7190</v>
      </c>
      <c r="K550" s="87">
        <f>SUM(F550:J550)</f>
        <v>112102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399934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59663</v>
      </c>
      <c r="K551" s="87">
        <f>SUM(F551:J551)</f>
        <v>459597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1806517</v>
      </c>
      <c r="G552" s="89">
        <f t="shared" si="42"/>
        <v>252180</v>
      </c>
      <c r="H552" s="89">
        <f t="shared" si="42"/>
        <v>191363</v>
      </c>
      <c r="I552" s="89">
        <f t="shared" si="42"/>
        <v>0</v>
      </c>
      <c r="J552" s="89">
        <f t="shared" si="42"/>
        <v>140405</v>
      </c>
      <c r="K552" s="89">
        <f t="shared" si="42"/>
        <v>2390465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33105</v>
      </c>
      <c r="G562" s="18">
        <v>7572</v>
      </c>
      <c r="H562" s="18"/>
      <c r="I562" s="18"/>
      <c r="J562" s="18"/>
      <c r="K562" s="18"/>
      <c r="L562" s="88">
        <f>SUM(F562:K562)</f>
        <v>40677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33105</v>
      </c>
      <c r="G565" s="89">
        <f t="shared" si="44"/>
        <v>7572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40677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33105</v>
      </c>
      <c r="G571" s="89">
        <f t="shared" ref="G571:L571" si="46">G560+G565+G570</f>
        <v>7572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40677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f>H215</f>
        <v>1534652</v>
      </c>
      <c r="H575" s="18">
        <f>H233</f>
        <v>3245708</v>
      </c>
      <c r="I575" s="87">
        <f>SUM(F575:H575)</f>
        <v>4780360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>
        <v>30752</v>
      </c>
      <c r="H583" s="18">
        <v>132289</v>
      </c>
      <c r="I583" s="87">
        <f t="shared" si="47"/>
        <v>163041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474073</v>
      </c>
      <c r="I591" s="18"/>
      <c r="J591" s="18"/>
      <c r="K591" s="104">
        <f t="shared" ref="K591:K597" si="48">SUM(H591:J591)</f>
        <v>474073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H541</f>
        <v>73552</v>
      </c>
      <c r="I592" s="18">
        <f>H542</f>
        <v>7190</v>
      </c>
      <c r="J592" s="18">
        <f>H543</f>
        <v>59663</v>
      </c>
      <c r="K592" s="104">
        <f t="shared" si="48"/>
        <v>140405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6000</v>
      </c>
      <c r="I595" s="18"/>
      <c r="J595" s="18"/>
      <c r="K595" s="104">
        <f t="shared" si="48"/>
        <v>6000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553625</v>
      </c>
      <c r="I598" s="108">
        <f>SUM(I591:I597)</f>
        <v>7190</v>
      </c>
      <c r="J598" s="108">
        <f>SUM(J591:J597)</f>
        <v>59663</v>
      </c>
      <c r="K598" s="108">
        <f>SUM(K591:K597)</f>
        <v>620478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59803+531</f>
        <v>60334</v>
      </c>
      <c r="I604" s="18"/>
      <c r="J604" s="18"/>
      <c r="K604" s="104">
        <f>SUM(H604:J604)</f>
        <v>60334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60334</v>
      </c>
      <c r="I605" s="108">
        <f>SUM(I602:I604)</f>
        <v>0</v>
      </c>
      <c r="J605" s="108">
        <f>SUM(J602:J604)</f>
        <v>0</v>
      </c>
      <c r="K605" s="108">
        <f>SUM(K602:K604)</f>
        <v>60334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56890</v>
      </c>
      <c r="G611" s="18">
        <v>9696</v>
      </c>
      <c r="H611" s="18"/>
      <c r="I611" s="18"/>
      <c r="J611" s="18"/>
      <c r="K611" s="18"/>
      <c r="L611" s="88">
        <f>SUM(F611:K611)</f>
        <v>66586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56890</v>
      </c>
      <c r="G614" s="108">
        <f t="shared" si="49"/>
        <v>9696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66586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1040869</v>
      </c>
      <c r="H617" s="109">
        <f>SUM(F52)</f>
        <v>1040869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14412</v>
      </c>
      <c r="H618" s="109">
        <f>SUM(G52)</f>
        <v>14412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11107</v>
      </c>
      <c r="H619" s="109">
        <f>SUM(H52)</f>
        <v>11107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15295</v>
      </c>
      <c r="H620" s="109">
        <f>SUM(I52)</f>
        <v>15295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320044</v>
      </c>
      <c r="H621" s="109">
        <f>SUM(J52)</f>
        <v>320044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1020651</v>
      </c>
      <c r="H622" s="109">
        <f>F476</f>
        <v>1020651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3756</v>
      </c>
      <c r="H624" s="109">
        <f>H476</f>
        <v>3756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15295</v>
      </c>
      <c r="H625" s="109">
        <f>I476</f>
        <v>15295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320044</v>
      </c>
      <c r="H626" s="109">
        <f>J476</f>
        <v>320044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11881500</v>
      </c>
      <c r="H627" s="104">
        <f>SUM(F468)</f>
        <v>11881500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139229</v>
      </c>
      <c r="H628" s="104">
        <f>SUM(G468)</f>
        <v>139229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60389</v>
      </c>
      <c r="H629" s="104">
        <f>SUM(H468)</f>
        <v>60389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100376</v>
      </c>
      <c r="H631" s="104">
        <f>SUM(J468)</f>
        <v>100376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11832804</v>
      </c>
      <c r="H632" s="104">
        <f>SUM(F472)</f>
        <v>11832804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70081</v>
      </c>
      <c r="H633" s="104">
        <f>SUM(H472)</f>
        <v>70081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80973</v>
      </c>
      <c r="H634" s="104">
        <f>I369</f>
        <v>80973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151298</v>
      </c>
      <c r="H635" s="104">
        <f>SUM(G472)</f>
        <v>151298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100376</v>
      </c>
      <c r="H637" s="164">
        <f>SUM(J468)</f>
        <v>100376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320044</v>
      </c>
      <c r="H639" s="104">
        <f>SUM(F461)</f>
        <v>320044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320044</v>
      </c>
      <c r="H642" s="104">
        <f>SUM(I461)</f>
        <v>320044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100376</v>
      </c>
      <c r="H645" s="104">
        <f>G408</f>
        <v>100376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100376</v>
      </c>
      <c r="H646" s="104">
        <f>L408</f>
        <v>100376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620478</v>
      </c>
      <c r="H647" s="104">
        <f>L208+L226+L244</f>
        <v>620478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60334</v>
      </c>
      <c r="H648" s="104">
        <f>(J257+J338)-(J255+J336)</f>
        <v>60334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553625</v>
      </c>
      <c r="H649" s="104">
        <f>H598</f>
        <v>553625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7190</v>
      </c>
      <c r="H650" s="104">
        <f>I598</f>
        <v>7190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59663</v>
      </c>
      <c r="H651" s="104">
        <f>J598</f>
        <v>59663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14412</v>
      </c>
      <c r="H652" s="104">
        <f>K263+K345</f>
        <v>14412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100376</v>
      </c>
      <c r="H655" s="104">
        <f>K266+K347</f>
        <v>100376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6587336</v>
      </c>
      <c r="G660" s="19">
        <f>(L229+L309+L359)</f>
        <v>1646754</v>
      </c>
      <c r="H660" s="19">
        <f>(L247+L328+L360)</f>
        <v>3705305</v>
      </c>
      <c r="I660" s="19">
        <f>SUM(F660:H660)</f>
        <v>11939395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84447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84447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553625</v>
      </c>
      <c r="G662" s="19">
        <f>(L226+L306)-(J226+J306)</f>
        <v>7190</v>
      </c>
      <c r="H662" s="19">
        <f>(L244+L325)-(J244+J325)</f>
        <v>59663</v>
      </c>
      <c r="I662" s="19">
        <f>SUM(F662:H662)</f>
        <v>620478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126920</v>
      </c>
      <c r="G663" s="199">
        <f>SUM(G575:G587)+SUM(I602:I604)+L612</f>
        <v>1565404</v>
      </c>
      <c r="H663" s="199">
        <f>SUM(H575:H587)+SUM(J602:J604)+L613</f>
        <v>3377997</v>
      </c>
      <c r="I663" s="19">
        <f>SUM(F663:H663)</f>
        <v>5070321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5822344</v>
      </c>
      <c r="G664" s="19">
        <f>G660-SUM(G661:G663)</f>
        <v>74160</v>
      </c>
      <c r="H664" s="19">
        <f>H660-SUM(H661:H663)</f>
        <v>267645</v>
      </c>
      <c r="I664" s="19">
        <f>I660-SUM(I661:I663)</f>
        <v>6164149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506.11</v>
      </c>
      <c r="G665" s="248"/>
      <c r="H665" s="248"/>
      <c r="I665" s="19">
        <f>SUM(F665:H665)</f>
        <v>506.11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11504.11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12179.46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-74160</v>
      </c>
      <c r="H669" s="18">
        <v>-267645</v>
      </c>
      <c r="I669" s="19">
        <f>SUM(F669:H669)</f>
        <v>-341805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11504.11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11504.11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sqref="A1: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New Boston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1611055</v>
      </c>
      <c r="C9" s="229">
        <f>'DOE25'!G197+'DOE25'!G215+'DOE25'!G233+'DOE25'!G276+'DOE25'!G295+'DOE25'!G314</f>
        <v>796434</v>
      </c>
    </row>
    <row r="10" spans="1:3" x14ac:dyDescent="0.2">
      <c r="A10" t="s">
        <v>779</v>
      </c>
      <c r="B10" s="240">
        <v>1486910</v>
      </c>
      <c r="C10" s="240">
        <v>722460</v>
      </c>
    </row>
    <row r="11" spans="1:3" x14ac:dyDescent="0.2">
      <c r="A11" t="s">
        <v>780</v>
      </c>
      <c r="B11" s="240">
        <v>73391</v>
      </c>
      <c r="C11" s="240">
        <v>47275</v>
      </c>
    </row>
    <row r="12" spans="1:3" x14ac:dyDescent="0.2">
      <c r="A12" t="s">
        <v>781</v>
      </c>
      <c r="B12" s="240">
        <v>50754</v>
      </c>
      <c r="C12" s="240">
        <v>26699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1611055</v>
      </c>
      <c r="C13" s="231">
        <f>SUM(C10:C12)</f>
        <v>796434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821459</v>
      </c>
      <c r="C18" s="229">
        <f>'DOE25'!G198+'DOE25'!G216+'DOE25'!G234+'DOE25'!G277+'DOE25'!G296+'DOE25'!G315</f>
        <v>427564</v>
      </c>
    </row>
    <row r="19" spans="1:3" x14ac:dyDescent="0.2">
      <c r="A19" t="s">
        <v>779</v>
      </c>
      <c r="B19" s="240">
        <v>374707</v>
      </c>
      <c r="C19" s="240">
        <v>170677</v>
      </c>
    </row>
    <row r="20" spans="1:3" x14ac:dyDescent="0.2">
      <c r="A20" t="s">
        <v>780</v>
      </c>
      <c r="B20" s="240">
        <v>423688</v>
      </c>
      <c r="C20" s="240">
        <v>243775</v>
      </c>
    </row>
    <row r="21" spans="1:3" x14ac:dyDescent="0.2">
      <c r="A21" t="s">
        <v>781</v>
      </c>
      <c r="B21" s="240">
        <v>23064</v>
      </c>
      <c r="C21" s="240">
        <v>13112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821459</v>
      </c>
      <c r="C22" s="231">
        <f>SUM(C19:C21)</f>
        <v>427564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56890</v>
      </c>
      <c r="C36" s="235">
        <f>'DOE25'!G200+'DOE25'!G218+'DOE25'!G236+'DOE25'!G279+'DOE25'!G298+'DOE25'!G317</f>
        <v>9696</v>
      </c>
    </row>
    <row r="37" spans="1:3" x14ac:dyDescent="0.2">
      <c r="A37" t="s">
        <v>779</v>
      </c>
      <c r="B37" s="240">
        <v>56837</v>
      </c>
      <c r="C37" s="240">
        <v>9696</v>
      </c>
    </row>
    <row r="38" spans="1:3" x14ac:dyDescent="0.2">
      <c r="A38" t="s">
        <v>780</v>
      </c>
      <c r="B38" s="240">
        <v>53</v>
      </c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56890</v>
      </c>
      <c r="C40" s="231">
        <f>SUM(C37:C39)</f>
        <v>9696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M9" sqref="M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New Boston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9210196</v>
      </c>
      <c r="D5" s="20">
        <f>SUM('DOE25'!L197:L200)+SUM('DOE25'!L215:L218)+SUM('DOE25'!L233:L236)-F5-G5</f>
        <v>9151407</v>
      </c>
      <c r="E5" s="243"/>
      <c r="F5" s="255">
        <f>SUM('DOE25'!J197:J200)+SUM('DOE25'!J215:J218)+SUM('DOE25'!J233:J236)</f>
        <v>58651</v>
      </c>
      <c r="G5" s="53">
        <f>SUM('DOE25'!K197:K200)+SUM('DOE25'!K215:K218)+SUM('DOE25'!K233:K236)</f>
        <v>138</v>
      </c>
      <c r="H5" s="259"/>
    </row>
    <row r="6" spans="1:9" x14ac:dyDescent="0.2">
      <c r="A6" s="32">
        <v>2100</v>
      </c>
      <c r="B6" t="s">
        <v>801</v>
      </c>
      <c r="C6" s="245">
        <f t="shared" si="0"/>
        <v>460229</v>
      </c>
      <c r="D6" s="20">
        <f>'DOE25'!L202+'DOE25'!L220+'DOE25'!L238-F6-G6</f>
        <v>460087</v>
      </c>
      <c r="E6" s="243"/>
      <c r="F6" s="255">
        <f>'DOE25'!J202+'DOE25'!J220+'DOE25'!J238</f>
        <v>142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136980</v>
      </c>
      <c r="D7" s="20">
        <f>'DOE25'!L203+'DOE25'!L221+'DOE25'!L239-F7-G7</f>
        <v>136800</v>
      </c>
      <c r="E7" s="243"/>
      <c r="F7" s="255">
        <f>'DOE25'!J203+'DOE25'!J221+'DOE25'!J239</f>
        <v>0</v>
      </c>
      <c r="G7" s="53">
        <f>'DOE25'!K203+'DOE25'!K221+'DOE25'!K239</f>
        <v>180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155000</v>
      </c>
      <c r="D8" s="243"/>
      <c r="E8" s="20">
        <f>'DOE25'!L204+'DOE25'!L222+'DOE25'!L240-F8-G8-D9-D11</f>
        <v>150415</v>
      </c>
      <c r="F8" s="255">
        <f>'DOE25'!J204+'DOE25'!J222+'DOE25'!J240</f>
        <v>0</v>
      </c>
      <c r="G8" s="53">
        <f>'DOE25'!K204+'DOE25'!K222+'DOE25'!K240</f>
        <v>4585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19279</v>
      </c>
      <c r="D9" s="244">
        <v>19279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5750</v>
      </c>
      <c r="D10" s="243"/>
      <c r="E10" s="244">
        <v>5750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146286</v>
      </c>
      <c r="D11" s="244">
        <v>146286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429360</v>
      </c>
      <c r="D12" s="20">
        <f>'DOE25'!L205+'DOE25'!L223+'DOE25'!L241-F12-G12</f>
        <v>428975</v>
      </c>
      <c r="E12" s="243"/>
      <c r="F12" s="255">
        <f>'DOE25'!J205+'DOE25'!J223+'DOE25'!J241</f>
        <v>0</v>
      </c>
      <c r="G12" s="53">
        <f>'DOE25'!K205+'DOE25'!K223+'DOE25'!K241</f>
        <v>385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540208</v>
      </c>
      <c r="D14" s="20">
        <f>'DOE25'!L207+'DOE25'!L225+'DOE25'!L243-F14-G14</f>
        <v>539198</v>
      </c>
      <c r="E14" s="243"/>
      <c r="F14" s="255">
        <f>'DOE25'!J207+'DOE25'!J225+'DOE25'!J243</f>
        <v>1010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620478</v>
      </c>
      <c r="D15" s="20">
        <f>'DOE25'!L208+'DOE25'!L226+'DOE25'!L244-F15-G15</f>
        <v>620478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77638</v>
      </c>
      <c r="D29" s="20">
        <f>'DOE25'!L358+'DOE25'!L359+'DOE25'!L360-'DOE25'!I367-F29-G29</f>
        <v>72064</v>
      </c>
      <c r="E29" s="243"/>
      <c r="F29" s="255">
        <f>'DOE25'!J358+'DOE25'!J359+'DOE25'!J360</f>
        <v>4998</v>
      </c>
      <c r="G29" s="53">
        <f>'DOE25'!K358+'DOE25'!K359+'DOE25'!K360</f>
        <v>576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70081</v>
      </c>
      <c r="D31" s="20">
        <f>'DOE25'!L290+'DOE25'!L309+'DOE25'!L328+'DOE25'!L333+'DOE25'!L334+'DOE25'!L335-F31-G31</f>
        <v>69550</v>
      </c>
      <c r="E31" s="243"/>
      <c r="F31" s="255">
        <f>'DOE25'!J290+'DOE25'!J309+'DOE25'!J328+'DOE25'!J333+'DOE25'!J334+'DOE25'!J335</f>
        <v>531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11644124</v>
      </c>
      <c r="E33" s="246">
        <f>SUM(E5:E31)</f>
        <v>156165</v>
      </c>
      <c r="F33" s="246">
        <f>SUM(F5:F31)</f>
        <v>65332</v>
      </c>
      <c r="G33" s="246">
        <f>SUM(G5:G31)</f>
        <v>5864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156165</v>
      </c>
      <c r="E35" s="249"/>
    </row>
    <row r="36" spans="2:8" ht="12" thickTop="1" x14ac:dyDescent="0.2">
      <c r="B36" t="s">
        <v>815</v>
      </c>
      <c r="D36" s="20">
        <f>D33</f>
        <v>11644124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M146" sqref="M14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 Boston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1029990</v>
      </c>
      <c r="D8" s="95">
        <f>'DOE25'!G9</f>
        <v>301</v>
      </c>
      <c r="E8" s="95">
        <f>'DOE25'!H9</f>
        <v>10268</v>
      </c>
      <c r="F8" s="95">
        <f>'DOE25'!I9</f>
        <v>15295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14111</v>
      </c>
      <c r="E12" s="95">
        <f>'DOE25'!H13</f>
        <v>839</v>
      </c>
      <c r="F12" s="95">
        <f>'DOE25'!I13</f>
        <v>0</v>
      </c>
      <c r="G12" s="95">
        <f>'DOE25'!J13</f>
        <v>320044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5661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5218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1040869</v>
      </c>
      <c r="D18" s="41">
        <f>SUM(D8:D17)</f>
        <v>14412</v>
      </c>
      <c r="E18" s="41">
        <f>SUM(E8:E17)</f>
        <v>11107</v>
      </c>
      <c r="F18" s="41">
        <f>SUM(F8:F17)</f>
        <v>15295</v>
      </c>
      <c r="G18" s="41">
        <f>SUM(G8:G17)</f>
        <v>320044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352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19488</v>
      </c>
      <c r="D23" s="95">
        <f>'DOE25'!G24</f>
        <v>14412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550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180</v>
      </c>
      <c r="D29" s="95">
        <f>'DOE25'!G30</f>
        <v>0</v>
      </c>
      <c r="E29" s="95">
        <f>'DOE25'!H30</f>
        <v>6999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20218</v>
      </c>
      <c r="D31" s="41">
        <f>SUM(D21:D30)</f>
        <v>14412</v>
      </c>
      <c r="E31" s="41">
        <f>SUM(E21:E30)</f>
        <v>7351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5661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5218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30000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82585</v>
      </c>
      <c r="D47" s="95">
        <f>'DOE25'!G48</f>
        <v>0</v>
      </c>
      <c r="E47" s="95">
        <f>'DOE25'!H48</f>
        <v>65</v>
      </c>
      <c r="F47" s="95">
        <f>'DOE25'!I48</f>
        <v>15295</v>
      </c>
      <c r="G47" s="95">
        <f>'DOE25'!J48</f>
        <v>320044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202430</v>
      </c>
      <c r="D48" s="95">
        <f>'DOE25'!G49</f>
        <v>0</v>
      </c>
      <c r="E48" s="95">
        <f>'DOE25'!H49</f>
        <v>3691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694757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1020651</v>
      </c>
      <c r="D50" s="41">
        <f>SUM(D34:D49)</f>
        <v>0</v>
      </c>
      <c r="E50" s="41">
        <f>SUM(E34:E49)</f>
        <v>3756</v>
      </c>
      <c r="F50" s="41">
        <f>SUM(F34:F49)</f>
        <v>15295</v>
      </c>
      <c r="G50" s="41">
        <f>SUM(G34:G49)</f>
        <v>320044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1040869</v>
      </c>
      <c r="D51" s="41">
        <f>D50+D31</f>
        <v>14412</v>
      </c>
      <c r="E51" s="41">
        <f>E50+E31</f>
        <v>11107</v>
      </c>
      <c r="F51" s="41">
        <f>F50+F31</f>
        <v>15295</v>
      </c>
      <c r="G51" s="41">
        <f>G50+G31</f>
        <v>320044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8175883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2190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2136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84447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10440</v>
      </c>
      <c r="D61" s="95">
        <f>SUM('DOE25'!G98:G110)</f>
        <v>0</v>
      </c>
      <c r="E61" s="95">
        <f>SUM('DOE25'!H98:H110)</f>
        <v>11523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14766</v>
      </c>
      <c r="D62" s="130">
        <f>SUM(D57:D61)</f>
        <v>84447</v>
      </c>
      <c r="E62" s="130">
        <f>SUM(E57:E61)</f>
        <v>11523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8190649</v>
      </c>
      <c r="D63" s="22">
        <f>D56+D62</f>
        <v>84447</v>
      </c>
      <c r="E63" s="22">
        <f>E56+E62</f>
        <v>11523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2310546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1280646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3591192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1874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1874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3591192</v>
      </c>
      <c r="D81" s="130">
        <f>SUM(D79:D80)+D78+D70</f>
        <v>1874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25479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99659</v>
      </c>
      <c r="D88" s="95">
        <f>SUM('DOE25'!G153:G161)</f>
        <v>24597</v>
      </c>
      <c r="E88" s="95">
        <f>SUM('DOE25'!H153:H161)</f>
        <v>23387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13899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99659</v>
      </c>
      <c r="D91" s="131">
        <f>SUM(D85:D90)</f>
        <v>38496</v>
      </c>
      <c r="E91" s="131">
        <f>SUM(E85:E90)</f>
        <v>48866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14412</v>
      </c>
      <c r="E96" s="95">
        <f>'DOE25'!H179</f>
        <v>0</v>
      </c>
      <c r="F96" s="95">
        <f>'DOE25'!I179</f>
        <v>0</v>
      </c>
      <c r="G96" s="95">
        <f>'DOE25'!J179</f>
        <v>100376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14412</v>
      </c>
      <c r="E103" s="86">
        <f>SUM(E93:E102)</f>
        <v>0</v>
      </c>
      <c r="F103" s="86">
        <f>SUM(F93:F102)</f>
        <v>0</v>
      </c>
      <c r="G103" s="86">
        <f>SUM(G93:G102)</f>
        <v>100376</v>
      </c>
    </row>
    <row r="104" spans="1:7" ht="12.75" thickTop="1" thickBot="1" x14ac:dyDescent="0.25">
      <c r="A104" s="33" t="s">
        <v>765</v>
      </c>
      <c r="C104" s="86">
        <f>C63+C81+C91+C103</f>
        <v>11881500</v>
      </c>
      <c r="D104" s="86">
        <f>D63+D81+D91+D103</f>
        <v>139229</v>
      </c>
      <c r="E104" s="86">
        <f>E63+E81+E91+E103</f>
        <v>60389</v>
      </c>
      <c r="F104" s="86">
        <f>F63+F81+F91+F103</f>
        <v>0</v>
      </c>
      <c r="G104" s="86">
        <f>G63+G81+G103</f>
        <v>100376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7375706</v>
      </c>
      <c r="D109" s="24" t="s">
        <v>289</v>
      </c>
      <c r="E109" s="95">
        <f>('DOE25'!L276)+('DOE25'!L295)+('DOE25'!L314)</f>
        <v>29420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1778986</v>
      </c>
      <c r="D110" s="24" t="s">
        <v>289</v>
      </c>
      <c r="E110" s="95">
        <f>('DOE25'!L277)+('DOE25'!L296)+('DOE25'!L315)</f>
        <v>27531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55504</v>
      </c>
      <c r="D112" s="24" t="s">
        <v>289</v>
      </c>
      <c r="E112" s="95">
        <f>+('DOE25'!L279)+('DOE25'!L298)+('DOE25'!L317)</f>
        <v>11082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9210196</v>
      </c>
      <c r="D115" s="86">
        <f>SUM(D109:D114)</f>
        <v>0</v>
      </c>
      <c r="E115" s="86">
        <f>SUM(E109:E114)</f>
        <v>68033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460229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136980</v>
      </c>
      <c r="D119" s="24" t="s">
        <v>289</v>
      </c>
      <c r="E119" s="95">
        <f>+('DOE25'!L282)+('DOE25'!L301)+('DOE25'!L320)</f>
        <v>2048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320565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429360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540208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620478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151298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2507820</v>
      </c>
      <c r="D128" s="86">
        <f>SUM(D118:D127)</f>
        <v>151298</v>
      </c>
      <c r="E128" s="86">
        <f>SUM(E118:E127)</f>
        <v>2048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14412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100376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114788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11832804</v>
      </c>
      <c r="D145" s="86">
        <f>(D115+D128+D144)</f>
        <v>151298</v>
      </c>
      <c r="E145" s="86">
        <f>(E115+E128+E144)</f>
        <v>70081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New Boston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11504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11504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7405126</v>
      </c>
      <c r="D10" s="182">
        <f>ROUND((C10/$C$28)*100,1)</f>
        <v>62.5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1806517</v>
      </c>
      <c r="D11" s="182">
        <f>ROUND((C11/$C$28)*100,1)</f>
        <v>15.2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66586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460229</v>
      </c>
      <c r="D15" s="182">
        <f t="shared" ref="D15:D27" si="0">ROUND((C15/$C$28)*100,1)</f>
        <v>3.9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139028</v>
      </c>
      <c r="D16" s="182">
        <f t="shared" si="0"/>
        <v>1.2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320565</v>
      </c>
      <c r="D17" s="182">
        <f t="shared" si="0"/>
        <v>2.7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429360</v>
      </c>
      <c r="D18" s="182">
        <f t="shared" si="0"/>
        <v>3.6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540208</v>
      </c>
      <c r="D20" s="182">
        <f t="shared" si="0"/>
        <v>4.5999999999999996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620478</v>
      </c>
      <c r="D21" s="182">
        <f t="shared" si="0"/>
        <v>5.2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66851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11854948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11854948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8175883</v>
      </c>
      <c r="D35" s="182">
        <f t="shared" ref="D35:D40" si="1">ROUND((C35/$C$41)*100,1)</f>
        <v>68.2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26289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3591192</v>
      </c>
      <c r="D37" s="182">
        <f t="shared" si="1"/>
        <v>30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1874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187021</v>
      </c>
      <c r="D39" s="182">
        <f t="shared" si="1"/>
        <v>1.6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11982259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V26" sqref="V2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New Boston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39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'MS-25'!Print_Area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2014-09-26T15:03:38Z</cp:lastPrinted>
  <dcterms:created xsi:type="dcterms:W3CDTF">1997-12-04T19:04:30Z</dcterms:created>
  <dcterms:modified xsi:type="dcterms:W3CDTF">2014-09-26T15:04:31Z</dcterms:modified>
</cp:coreProperties>
</file>