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C124" i="2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F661" i="1" s="1"/>
  <c r="L359" i="1"/>
  <c r="L360" i="1"/>
  <c r="I367" i="1"/>
  <c r="I369" i="1" s="1"/>
  <c r="H634" i="1" s="1"/>
  <c r="J290" i="1"/>
  <c r="J309" i="1"/>
  <c r="J328" i="1"/>
  <c r="K290" i="1"/>
  <c r="K309" i="1"/>
  <c r="K328" i="1"/>
  <c r="L276" i="1"/>
  <c r="L277" i="1"/>
  <c r="L278" i="1"/>
  <c r="L279" i="1"/>
  <c r="L281" i="1"/>
  <c r="L282" i="1"/>
  <c r="E119" i="2" s="1"/>
  <c r="E128" i="2" s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9" i="10"/>
  <c r="L250" i="1"/>
  <c r="L332" i="1"/>
  <c r="L254" i="1"/>
  <c r="C25" i="10"/>
  <c r="L268" i="1"/>
  <c r="L269" i="1"/>
  <c r="L349" i="1"/>
  <c r="L350" i="1"/>
  <c r="I665" i="1"/>
  <c r="I670" i="1"/>
  <c r="L229" i="1"/>
  <c r="H661" i="1"/>
  <c r="F662" i="1"/>
  <c r="G662" i="1"/>
  <c r="I662" i="1" s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E110" i="2"/>
  <c r="C111" i="2"/>
  <c r="E111" i="2"/>
  <c r="E112" i="2"/>
  <c r="C113" i="2"/>
  <c r="E113" i="2"/>
  <c r="C114" i="2"/>
  <c r="E114" i="2"/>
  <c r="D115" i="2"/>
  <c r="F115" i="2"/>
  <c r="G115" i="2"/>
  <c r="C118" i="2"/>
  <c r="E118" i="2"/>
  <c r="C119" i="2"/>
  <c r="E120" i="2"/>
  <c r="E121" i="2"/>
  <c r="C122" i="2"/>
  <c r="E122" i="2"/>
  <c r="E123" i="2"/>
  <c r="E124" i="2"/>
  <c r="C125" i="2"/>
  <c r="E125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H476" i="1" s="1"/>
  <c r="H624" i="1" s="1"/>
  <c r="J624" i="1" s="1"/>
  <c r="I470" i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8" i="1" s="1"/>
  <c r="G647" i="1" s="1"/>
  <c r="J647" i="1" s="1"/>
  <c r="K597" i="1"/>
  <c r="H598" i="1"/>
  <c r="H649" i="1" s="1"/>
  <c r="I598" i="1"/>
  <c r="H650" i="1" s="1"/>
  <c r="J598" i="1"/>
  <c r="H651" i="1" s="1"/>
  <c r="J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G645" i="1"/>
  <c r="H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K257" i="1"/>
  <c r="K271" i="1" s="1"/>
  <c r="G164" i="2"/>
  <c r="C18" i="2"/>
  <c r="C26" i="10"/>
  <c r="L328" i="1"/>
  <c r="L351" i="1"/>
  <c r="L290" i="1"/>
  <c r="A31" i="12"/>
  <c r="C70" i="2"/>
  <c r="A40" i="12"/>
  <c r="D62" i="2"/>
  <c r="D63" i="2" s="1"/>
  <c r="D18" i="13"/>
  <c r="C18" i="13" s="1"/>
  <c r="D15" i="13"/>
  <c r="C15" i="13" s="1"/>
  <c r="D18" i="2"/>
  <c r="D17" i="13"/>
  <c r="C17" i="13" s="1"/>
  <c r="D6" i="13"/>
  <c r="C6" i="13" s="1"/>
  <c r="C91" i="2"/>
  <c r="F78" i="2"/>
  <c r="F81" i="2" s="1"/>
  <c r="D31" i="2"/>
  <c r="C7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19" i="13"/>
  <c r="C19" i="13" s="1"/>
  <c r="D14" i="13"/>
  <c r="C14" i="13" s="1"/>
  <c r="E13" i="13"/>
  <c r="C13" i="13" s="1"/>
  <c r="E78" i="2"/>
  <c r="E81" i="2" s="1"/>
  <c r="L427" i="1"/>
  <c r="H112" i="1"/>
  <c r="F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3" i="1"/>
  <c r="J476" i="1"/>
  <c r="H626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50" i="1"/>
  <c r="G22" i="2"/>
  <c r="K545" i="1"/>
  <c r="J552" i="1"/>
  <c r="H140" i="1"/>
  <c r="L393" i="1"/>
  <c r="H25" i="13"/>
  <c r="C25" i="13" s="1"/>
  <c r="H571" i="1"/>
  <c r="L560" i="1"/>
  <c r="J545" i="1"/>
  <c r="F338" i="1"/>
  <c r="F352" i="1" s="1"/>
  <c r="G192" i="1"/>
  <c r="H192" i="1"/>
  <c r="C35" i="10"/>
  <c r="L309" i="1"/>
  <c r="E16" i="13"/>
  <c r="C16" i="13" s="1"/>
  <c r="J645" i="1"/>
  <c r="L570" i="1"/>
  <c r="I571" i="1"/>
  <c r="J636" i="1"/>
  <c r="G36" i="2"/>
  <c r="L565" i="1"/>
  <c r="H545" i="1"/>
  <c r="C138" i="2"/>
  <c r="H33" i="13"/>
  <c r="A13" i="12" l="1"/>
  <c r="J640" i="1"/>
  <c r="F22" i="13"/>
  <c r="C22" i="13" s="1"/>
  <c r="C29" i="10"/>
  <c r="J649" i="1"/>
  <c r="K551" i="1"/>
  <c r="H552" i="1"/>
  <c r="I545" i="1"/>
  <c r="L534" i="1"/>
  <c r="L529" i="1"/>
  <c r="K549" i="1"/>
  <c r="G545" i="1"/>
  <c r="F552" i="1"/>
  <c r="L524" i="1"/>
  <c r="J644" i="1"/>
  <c r="J634" i="1"/>
  <c r="D29" i="13"/>
  <c r="C29" i="13" s="1"/>
  <c r="D127" i="2"/>
  <c r="D128" i="2" s="1"/>
  <c r="D145" i="2"/>
  <c r="G661" i="1"/>
  <c r="I661" i="1" s="1"/>
  <c r="L362" i="1"/>
  <c r="C16" i="10"/>
  <c r="K338" i="1"/>
  <c r="K352" i="1" s="1"/>
  <c r="G257" i="1"/>
  <c r="G271" i="1" s="1"/>
  <c r="C110" i="2"/>
  <c r="L247" i="1"/>
  <c r="H660" i="1" s="1"/>
  <c r="H664" i="1" s="1"/>
  <c r="H257" i="1"/>
  <c r="H271" i="1" s="1"/>
  <c r="C21" i="10"/>
  <c r="I257" i="1"/>
  <c r="I271" i="1" s="1"/>
  <c r="F257" i="1"/>
  <c r="F271" i="1" s="1"/>
  <c r="C17" i="10"/>
  <c r="C123" i="2"/>
  <c r="D12" i="13"/>
  <c r="C12" i="13" s="1"/>
  <c r="C121" i="2"/>
  <c r="E8" i="13"/>
  <c r="C8" i="13" s="1"/>
  <c r="C120" i="2"/>
  <c r="D7" i="13"/>
  <c r="C7" i="13" s="1"/>
  <c r="L211" i="1"/>
  <c r="C10" i="10"/>
  <c r="D5" i="13"/>
  <c r="C5" i="13" s="1"/>
  <c r="C109" i="2"/>
  <c r="C81" i="2"/>
  <c r="C63" i="2"/>
  <c r="J622" i="1"/>
  <c r="J61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K552" i="1" l="1"/>
  <c r="L545" i="1"/>
  <c r="H646" i="1"/>
  <c r="J646" i="1" s="1"/>
  <c r="L257" i="1"/>
  <c r="L271" i="1" s="1"/>
  <c r="G632" i="1" s="1"/>
  <c r="J632" i="1" s="1"/>
  <c r="C115" i="2"/>
  <c r="H667" i="1"/>
  <c r="H672" i="1"/>
  <c r="C6" i="10" s="1"/>
  <c r="E33" i="13"/>
  <c r="D35" i="13" s="1"/>
  <c r="G672" i="1"/>
  <c r="C5" i="10" s="1"/>
  <c r="C28" i="10"/>
  <c r="D24" i="10" s="1"/>
  <c r="F660" i="1"/>
  <c r="I660" i="1" s="1"/>
  <c r="I664" i="1" s="1"/>
  <c r="I672" i="1" s="1"/>
  <c r="C7" i="10" s="1"/>
  <c r="C128" i="2"/>
  <c r="G104" i="2"/>
  <c r="C104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C145" i="2" l="1"/>
  <c r="D23" i="10"/>
  <c r="C30" i="10"/>
  <c r="D15" i="10"/>
  <c r="D10" i="10"/>
  <c r="D25" i="10"/>
  <c r="D20" i="10"/>
  <c r="D19" i="10"/>
  <c r="D26" i="10"/>
  <c r="D16" i="10"/>
  <c r="D13" i="10"/>
  <c r="D11" i="10"/>
  <c r="D21" i="10"/>
  <c r="D22" i="10"/>
  <c r="D27" i="10"/>
  <c r="D18" i="10"/>
  <c r="D17" i="10"/>
  <c r="D12" i="10"/>
  <c r="F664" i="1"/>
  <c r="F667" i="1" s="1"/>
  <c r="I667" i="1"/>
  <c r="H656" i="1"/>
  <c r="C41" i="10"/>
  <c r="D38" i="10" s="1"/>
  <c r="F672" i="1" l="1"/>
  <c r="C4" i="10" s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<sst xmlns="http://schemas.openxmlformats.org/spreadsheetml/2006/main" count="3954" uniqueCount="912">
  <si>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</si>
  <si>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</si>
  <si>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</si>
  <si>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</si>
  <si>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</si>
  <si>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</si>
  <si>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</si>
  <si>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</si>
  <si>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</si>
  <si>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</si>
  <si>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</si>
  <si>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</si>
  <si>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</si>
  <si>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</si>
  <si>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</si>
  <si>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</si>
  <si>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</si>
  <si>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</si>
  <si>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</si>
  <si>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</si>
  <si>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</si>
  <si>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</si>
  <si>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</si>
  <si>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</si>
  <si>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</si>
  <si>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</si>
  <si>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</si>
  <si>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</si>
  <si>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</si>
  <si>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</si>
  <si>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</si>
  <si>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</si>
  <si>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</si>
  <si>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</si>
  <si>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</si>
  <si>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</si>
  <si>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</si>
  <si>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</si>
  <si>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</si>
  <si>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</si>
  <si>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</si>
  <si>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</si>
  <si>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</si>
  <si>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</si>
  <si>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</si>
  <si>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</si>
  <si>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</si>
  <si>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</si>
  <si>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</si>
  <si>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</si>
  <si>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</si>
  <si>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</si>
  <si>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</si>
  <si>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</si>
  <si>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</si>
  <si>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</si>
  <si>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</si>
  <si>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</si>
  <si>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</si>
  <si>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</si>
  <si>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</si>
  <si>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</si>
  <si>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</si>
  <si>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</si>
  <si>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</si>
  <si>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</si>
  <si>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</si>
  <si>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</si>
  <si>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</si>
  <si>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</si>
  <si>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</si>
  <si>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</si>
  <si>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</si>
  <si>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</si>
  <si>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</si>
  <si>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</si>
  <si>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</si>
  <si>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</si>
  <si>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</si>
  <si>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</si>
  <si>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</si>
  <si>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</si>
  <si>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</si>
  <si>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</si>
  <si>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</si>
  <si>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</si>
  <si>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</si>
  <si>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</si>
  <si>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</si>
  <si>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</si>
  <si>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</si>
  <si>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</si>
  <si>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</si>
  <si>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</si>
  <si>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</si>
  <si>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</si>
  <si>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</si>
  <si>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</si>
  <si>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</si>
  <si>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</si>
  <si>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</si>
  <si>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</si>
  <si>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</si>
  <si>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</si>
  <si>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</si>
  <si>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</si>
  <si>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</si>
  <si>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</si>
  <si>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</si>
  <si>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</si>
  <si>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</si>
  <si>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</si>
  <si>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</si>
  <si>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</si>
  <si>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</si>
  <si>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</si>
  <si>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</si>
  <si>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</si>
  <si>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</si>
  <si>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</si>
  <si>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</si>
  <si>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</si>
  <si>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</si>
  <si>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</si>
  <si>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</si>
  <si>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</si>
  <si>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</si>
  <si>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</si>
  <si>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</si>
  <si>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</si>
  <si>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</si>
  <si>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</si>
  <si>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</si>
  <si>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</si>
  <si>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</si>
  <si>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</si>
  <si>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</si>
  <si>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</si>
  <si>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</si>
  <si>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</si>
  <si>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</si>
  <si>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</si>
  <si>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</si>
  <si>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</si>
  <si>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</si>
  <si>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</si>
  <si>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</si>
  <si>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</si>
  <si>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</si>
  <si>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</si>
  <si>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</si>
  <si>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</si>
  <si>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</si>
  <si>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</si>
  <si>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</si>
  <si>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</si>
  <si>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</si>
  <si>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</si>
  <si>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</si>
  <si>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</si>
  <si>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</si>
  <si>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</si>
  <si>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</si>
  <si>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</si>
  <si>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</si>
  <si>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</si>
  <si>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</si>
  <si>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</si>
  <si>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</si>
  <si>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</si>
  <si>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</si>
  <si>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</si>
  <si>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</si>
  <si>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</si>
  <si>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</si>
  <si>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</si>
  <si>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</si>
  <si>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</si>
  <si>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</si>
  <si>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</si>
  <si>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</si>
  <si>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</si>
  <si>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</si>
  <si>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</si>
  <si>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</si>
  <si>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</si>
  <si>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</si>
  <si>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</si>
  <si>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</si>
  <si>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</si>
  <si>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</si>
  <si>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</si>
  <si>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</si>
  <si>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</si>
  <si>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</si>
  <si>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</si>
  <si>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</si>
  <si>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</si>
  <si>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</si>
  <si>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</si>
  <si>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</si>
  <si>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</si>
  <si>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</si>
  <si>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</si>
  <si>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</si>
  <si>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</si>
  <si>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</si>
  <si>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</si>
  <si>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</si>
  <si>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</si>
  <si>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</si>
  <si>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</si>
  <si>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</si>
  <si>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</si>
  <si>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</si>
  <si>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</si>
  <si>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</si>
  <si>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</si>
  <si>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</si>
  <si>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</si>
  <si>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</si>
  <si>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</si>
  <si>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</si>
  <si>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</si>
  <si>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</si>
  <si>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</si>
  <si>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</si>
  <si>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</si>
  <si>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</si>
  <si>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</si>
  <si>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</si>
  <si>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</si>
  <si>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</si>
  <si>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</si>
  <si>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</si>
  <si>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</si>
  <si>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</si>
  <si>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</si>
  <si>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</si>
  <si>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</si>
  <si>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</si>
  <si>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</si>
  <si>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</si>
  <si>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</si>
  <si>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</si>
  <si>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</si>
  <si>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</si>
  <si>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</si>
  <si>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</si>
  <si>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</si>
  <si>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</si>
  <si>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</si>
  <si>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</si>
  <si>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</si>
  <si>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</si>
  <si>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</si>
  <si>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</si>
  <si>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</si>
  <si>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</si>
  <si>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</si>
  <si>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</si>
  <si>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</si>
  <si>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</si>
  <si>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</si>
  <si>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</si>
  <si>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</si>
  <si>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</si>
  <si>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</si>
  <si>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</si>
  <si>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</si>
  <si>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</si>
  <si>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</si>
  <si>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</si>
  <si>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</si>
  <si>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</si>
  <si>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</si>
  <si>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</si>
  <si>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</si>
  <si>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</si>
  <si>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</si>
  <si>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</si>
  <si>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</si>
  <si>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</si>
  <si>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</si>
  <si>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</si>
  <si>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</si>
  <si>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</si>
  <si>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</si>
  <si>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</si>
  <si>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</si>
  <si>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</si>
  <si>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</si>
  <si>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</si>
  <si>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</si>
  <si>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</si>
  <si>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</si>
  <si>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</si>
  <si>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</si>
  <si>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</si>
  <si>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</si>
  <si>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</si>
  <si>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</si>
  <si>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</si>
  <si>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</si>
  <si>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</si>
  <si>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</si>
  <si>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</si>
  <si>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</si>
  <si>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</si>
  <si>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</si>
  <si>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</si>
  <si>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</si>
  <si>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</si>
  <si>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</si>
  <si>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</si>
  <si>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</si>
  <si>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</si>
  <si>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</si>
  <si>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</si>
  <si>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</si>
  <si>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</si>
  <si>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</si>
  <si>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</si>
  <si>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</si>
  <si>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</si>
  <si>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</si>
  <si>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</si>
  <si>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</si>
  <si>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</si>
  <si>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</si>
  <si>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</si>
  <si>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</si>
  <si>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</si>
  <si>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</si>
  <si>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</si>
  <si>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</si>
  <si>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</si>
  <si>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</si>
  <si>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</si>
  <si>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</si>
  <si>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</si>
  <si>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</si>
  <si>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</si>
  <si>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</si>
  <si>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</si>
  <si>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</si>
  <si>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</si>
  <si>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</si>
  <si>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</si>
  <si>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</si>
  <si>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</si>
  <si>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</si>
  <si>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</si>
  <si>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</si>
  <si>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</si>
  <si>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</si>
  <si>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</si>
  <si>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</si>
  <si>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</si>
  <si>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</si>
  <si>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</si>
  <si>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</si>
  <si>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</si>
  <si>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</si>
  <si>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</si>
  <si>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</si>
  <si>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</si>
  <si>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</si>
  <si>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</si>
  <si>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</si>
  <si>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</si>
  <si>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</si>
  <si>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</si>
  <si>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</si>
  <si>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</si>
  <si>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</si>
  <si>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</si>
  <si>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</si>
  <si>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</si>
  <si>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</si>
  <si>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</si>
  <si>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</si>
  <si>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</si>
  <si>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</si>
  <si>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</si>
  <si>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</si>
  <si>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</si>
  <si>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</si>
  <si>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</si>
  <si>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</si>
  <si>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</si>
  <si>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</si>
  <si>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</si>
  <si>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</si>
  <si>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</si>
  <si>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</si>
  <si>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</si>
  <si>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</si>
  <si>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</si>
  <si>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</si>
  <si>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</si>
  <si>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</si>
  <si>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</si>
  <si>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</si>
  <si>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</si>
  <si>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</si>
  <si>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</si>
  <si>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</si>
  <si>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</si>
  <si>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</si>
  <si>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</si>
  <si>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</si>
  <si>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</si>
  <si>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</si>
  <si>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</si>
  <si>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</si>
  <si>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</si>
  <si>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</si>
  <si>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</si>
  <si>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</si>
  <si>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</si>
  <si>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</si>
  <si>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</si>
  <si>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</si>
  <si>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</si>
  <si>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</si>
  <si>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</si>
  <si>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</si>
  <si>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</si>
  <si>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</si>
  <si>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</si>
  <si>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</si>
  <si>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</si>
  <si>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</si>
  <si>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</si>
  <si>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</si>
  <si>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</si>
  <si>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</si>
  <si>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</si>
  <si>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</si>
  <si>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</si>
  <si>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</si>
  <si>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</si>
  <si>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</si>
  <si>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</si>
  <si>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</si>
  <si>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</si>
  <si>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</si>
  <si>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</si>
  <si>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</si>
  <si>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</si>
  <si>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</si>
  <si>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</si>
  <si>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</si>
  <si>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</si>
  <si>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</si>
  <si>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</si>
  <si>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</si>
  <si>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</si>
  <si>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</si>
  <si>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</si>
  <si>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</si>
  <si>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</si>
  <si>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</si>
  <si>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</si>
  <si>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</si>
  <si>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</si>
  <si>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</si>
  <si>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</si>
  <si>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</si>
  <si>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</si>
  <si>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</si>
  <si>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</si>
  <si>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</si>
  <si>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</si>
  <si>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</si>
  <si>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</si>
  <si>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</si>
  <si>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</si>
  <si>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</si>
  <si>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</si>
  <si>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</si>
  <si>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</si>
  <si>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</si>
  <si>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</si>
  <si>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</si>
  <si>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</si>
  <si>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</si>
  <si>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</si>
  <si>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</si>
  <si>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</si>
  <si>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</si>
  <si>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</si>
  <si>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</si>
  <si>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</si>
  <si>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</si>
  <si>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</si>
  <si>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</si>
  <si>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</si>
  <si>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</si>
  <si>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</si>
  <si>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</si>
  <si>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</si>
  <si>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</si>
  <si>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</si>
  <si>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</si>
  <si>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</si>
  <si>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</si>
  <si>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</si>
  <si>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</si>
  <si>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</si>
  <si>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</si>
  <si>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</si>
  <si>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</si>
  <si>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</si>
  <si>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</si>
  <si>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</si>
  <si>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</si>
  <si>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</si>
  <si>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</si>
  <si>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</si>
  <si>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</si>
  <si>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</si>
  <si>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</si>
  <si>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</si>
  <si>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</si>
  <si>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</si>
  <si>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</si>
  <si>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</si>
  <si>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</si>
  <si>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</si>
  <si>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</si>
  <si>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</si>
  <si>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</si>
  <si>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</si>
  <si>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</si>
  <si>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</si>
  <si>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</si>
  <si>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</si>
  <si>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</si>
  <si>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</si>
  <si>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</si>
  <si>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</si>
  <si>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</si>
  <si>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</si>
  <si>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</si>
  <si>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</si>
  <si>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</si>
  <si>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</si>
  <si>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</si>
  <si>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</si>
  <si>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</si>
  <si>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</si>
  <si>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</si>
  <si>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</si>
  <si>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</si>
  <si>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</si>
  <si>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</si>
  <si>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</si>
  <si>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</si>
  <si>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</si>
  <si>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</si>
  <si>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</si>
  <si>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</si>
  <si>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</si>
  <si>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</si>
  <si>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</si>
  <si>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</si>
  <si>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</si>
  <si>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</si>
  <si>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</si>
  <si>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</si>
  <si>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</si>
  <si>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</si>
  <si>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</si>
  <si>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</si>
  <si>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</si>
  <si>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</si>
  <si>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</si>
  <si>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</si>
  <si>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</si>
  <si>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</si>
  <si>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</si>
  <si>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</si>
  <si>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</si>
  <si>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</si>
  <si>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</si>
  <si>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</si>
  <si>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</si>
  <si>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</si>
  <si>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</si>
  <si>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</si>
  <si>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</si>
  <si>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</si>
  <si>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</si>
  <si>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</si>
  <si>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</si>
  <si>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</si>
  <si>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</si>
  <si>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</si>
  <si>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</si>
  <si>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</si>
  <si>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</si>
  <si>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</si>
  <si>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</si>
  <si>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</si>
  <si>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</si>
  <si>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</si>
  <si>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</si>
  <si>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</si>
  <si>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</si>
  <si>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</si>
  <si>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</si>
  <si>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</si>
  <si>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</si>
  <si>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</si>
  <si>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</si>
  <si>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</si>
  <si>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</si>
  <si>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</si>
  <si>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</si>
  <si>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</si>
  <si>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</si>
  <si>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</si>
  <si>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</si>
  <si>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</si>
  <si>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</si>
  <si>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</si>
  <si>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</si>
  <si>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</si>
  <si>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</si>
  <si>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</si>
  <si>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</si>
  <si>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</si>
  <si>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</si>
  <si>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</si>
  <si>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</si>
  <si>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</si>
  <si>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</si>
  <si>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</si>
  <si>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</si>
  <si>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</si>
  <si>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</si>
  <si>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</si>
  <si>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</si>
  <si>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</si>
  <si>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</si>
  <si>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</si>
  <si>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</si>
  <si>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</si>
  <si>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</si>
  <si>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</si>
  <si>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</si>
  <si>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</si>
  <si>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</si>
  <si>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</si>
  <si>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</si>
  <si>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</si>
  <si>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</si>
  <si>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</si>
  <si>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</si>
  <si>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</si>
  <si>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</si>
  <si>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</si>
  <si>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</si>
  <si>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</si>
  <si>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</si>
  <si>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</si>
  <si>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</si>
  <si>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</si>
  <si>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</si>
  <si>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</si>
  <si>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</si>
  <si>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</si>
  <si>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</si>
  <si>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</si>
  <si>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</si>
  <si>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</si>
  <si>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</si>
  <si>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</si>
  <si>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</si>
  <si>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</si>
  <si>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</si>
  <si>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</si>
  <si>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</si>
  <si>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</si>
  <si>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</si>
  <si>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</si>
  <si>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</si>
  <si>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</si>
  <si>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</si>
  <si>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</si>
  <si>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</si>
  <si>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</si>
  <si>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</si>
  <si>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</si>
  <si>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</si>
  <si>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</si>
  <si>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</si>
  <si>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</si>
  <si>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</si>
  <si>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</si>
  <si>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</si>
  <si>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</si>
  <si>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</si>
  <si>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</si>
  <si>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</si>
  <si>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</si>
  <si>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</si>
  <si>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</si>
  <si>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</si>
  <si>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</si>
  <si>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</si>
  <si>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</si>
  <si>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</si>
  <si>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</si>
  <si>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</si>
  <si>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</si>
  <si>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</si>
  <si>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</si>
  <si>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</si>
  <si>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</si>
  <si>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</si>
  <si>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</si>
  <si>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</si>
  <si>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</si>
  <si>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</si>
  <si>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</si>
  <si>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</si>
  <si>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</si>
  <si>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</si>
  <si>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</si>
  <si>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</si>
  <si>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</si>
  <si>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</si>
  <si>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</si>
  <si>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</si>
  <si>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</si>
  <si>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</si>
  <si>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</si>
  <si>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</si>
  <si>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</si>
  <si>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</si>
  <si>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</si>
  <si>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</si>
  <si>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</si>
  <si>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</si>
  <si>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</si>
  <si>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</si>
  <si>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</si>
  <si>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</si>
  <si>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</si>
  <si>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</si>
  <si>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</si>
  <si>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</si>
  <si>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</si>
  <si>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</si>
  <si>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</si>
  <si>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</si>
  <si>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</si>
  <si>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</si>
  <si>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</si>
  <si>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</si>
  <si>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</si>
  <si>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</si>
  <si>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</si>
  <si>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</si>
  <si>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</si>
  <si>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</si>
  <si>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</si>
  <si>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</si>
  <si>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</si>
  <si>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</si>
  <si>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</si>
  <si>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</si>
  <si>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</si>
  <si>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</si>
  <si>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</si>
  <si>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</si>
  <si>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</si>
  <si>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</si>
  <si>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</si>
  <si>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</si>
  <si>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</si>
  <si>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</si>
  <si>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</si>
  <si>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</si>
  <si>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</si>
  <si>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</si>
  <si>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</si>
  <si>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</si>
  <si>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</si>
  <si>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</si>
  <si>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</si>
  <si>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</si>
  <si>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</si>
  <si>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</si>
  <si>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</si>
  <si>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</si>
  <si>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</si>
  <si>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</si>
  <si>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</si>
  <si>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</si>
  <si>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</si>
  <si>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</si>
  <si>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</si>
  <si>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</si>
  <si>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</si>
  <si>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</si>
  <si>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</si>
  <si>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</si>
  <si>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</si>
  <si>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</si>
  <si>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</si>
  <si>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</si>
  <si>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</si>
  <si>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</si>
  <si>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</si>
  <si>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</si>
  <si>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</si>
  <si>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</si>
  <si>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</si>
  <si>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</si>
  <si>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</si>
  <si>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</si>
  <si>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</si>
  <si>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</si>
  <si>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</si>
  <si>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</si>
  <si>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</si>
  <si>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</si>
  <si>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</si>
  <si>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</si>
  <si>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</si>
  <si>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</si>
  <si>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</si>
  <si>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</si>
  <si>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</si>
  <si>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</si>
  <si>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</si>
  <si>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</si>
  <si>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</si>
  <si>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</si>
  <si>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</si>
  <si>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</si>
  <si>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</si>
  <si>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</si>
  <si>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</si>
  <si>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</si>
  <si>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</si>
  <si>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</si>
  <si>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</si>
  <si>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</si>
  <si>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</si>
  <si>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</si>
  <si>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</si>
  <si>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</si>
  <si>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</si>
  <si>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</si>
  <si>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</si>
  <si>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</si>
  <si>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</si>
  <si>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</si>
  <si>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</si>
  <si>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</si>
  <si>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</si>
  <si>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</si>
  <si>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</si>
  <si>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</si>
  <si>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</si>
  <si>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</si>
  <si>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</si>
  <si>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</si>
  <si>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</si>
  <si>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</si>
  <si>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</si>
  <si>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</si>
  <si>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</si>
  <si>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</si>
  <si>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</si>
  <si>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</si>
  <si>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</si>
  <si>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</si>
  <si>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</si>
  <si>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</si>
  <si>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</si>
  <si>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</si>
  <si>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</si>
  <si>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</si>
  <si>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</si>
  <si>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</si>
  <si>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</si>
  <si>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</si>
  <si>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</si>
  <si>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</si>
  <si>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</si>
  <si>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</si>
  <si>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</si>
  <si>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</si>
  <si>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</si>
  <si>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</si>
  <si>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</si>
  <si>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</si>
  <si>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</si>
  <si>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</si>
  <si>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</si>
  <si>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</si>
  <si>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</si>
  <si>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</si>
  <si>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</si>
  <si>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</si>
  <si>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NEW CASTLE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</si>
</sst>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80" zoomScaleNormal="80" workbookViewId="0">
      <pane xSplit="5" ySplit="3" topLeftCell="F626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381</v>
      </c>
      <c r="C2" s="21">
        <v>381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57277.57</v>
      </c>
      <c r="G9" s="18"/>
      <c r="H9" s="18"/>
      <c r="I9" s="18"/>
      <c r="J9" s="67">
        <f>SUM(I439)</f>
        <v>181834.84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64.09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78.540000000000006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57277.57</v>
      </c>
      <c r="G19" s="41">
        <f>SUM(G9:G18)</f>
        <v>142.63</v>
      </c>
      <c r="H19" s="41">
        <f>SUM(H9:H18)</f>
        <v>0</v>
      </c>
      <c r="I19" s="41">
        <f>SUM(I9:I18)</f>
        <v>0</v>
      </c>
      <c r="J19" s="41">
        <f>SUM(J9:J18)</f>
        <v>181834.84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64.09</v>
      </c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20288.060000000001</v>
      </c>
      <c r="G24" s="18">
        <v>19.61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5123.99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25476.14</v>
      </c>
      <c r="G32" s="41">
        <f>SUM(G22:G31)</f>
        <v>19.61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123.02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>
        <v>30000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181834.84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1801.43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31801.43</v>
      </c>
      <c r="G51" s="41">
        <f>SUM(G35:G50)</f>
        <v>123.02</v>
      </c>
      <c r="H51" s="41">
        <f>SUM(H35:H50)</f>
        <v>0</v>
      </c>
      <c r="I51" s="41">
        <f>SUM(I35:I50)</f>
        <v>0</v>
      </c>
      <c r="J51" s="41">
        <f>SUM(J35:J50)</f>
        <v>181834.84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57277.57</v>
      </c>
      <c r="G52" s="41">
        <f>G51+G32</f>
        <v>142.63</v>
      </c>
      <c r="H52" s="41">
        <f>H51+H32</f>
        <v>0</v>
      </c>
      <c r="I52" s="41">
        <f>I51+I32</f>
        <v>0</v>
      </c>
      <c r="J52" s="41">
        <f>J51+J32</f>
        <v>181834.84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441387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441387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2334.4899999999998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85.4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701.63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701.63</v>
      </c>
      <c r="G111" s="41">
        <f>SUM(G96:G110)</f>
        <v>85.4</v>
      </c>
      <c r="H111" s="41">
        <f>SUM(H96:H110)</f>
        <v>0</v>
      </c>
      <c r="I111" s="41">
        <f>SUM(I96:I110)</f>
        <v>0</v>
      </c>
      <c r="J111" s="41">
        <f>SUM(J96:J110)</f>
        <v>2334.4899999999998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442088.63</v>
      </c>
      <c r="G112" s="41">
        <f>G60+G111</f>
        <v>85.4</v>
      </c>
      <c r="H112" s="41">
        <f>H60+H79+H94+H111</f>
        <v>0</v>
      </c>
      <c r="I112" s="41">
        <f>I60+I111</f>
        <v>0</v>
      </c>
      <c r="J112" s="41">
        <f>J60+J111</f>
        <v>2334.4899999999998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/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1548755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1548755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808.8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808.8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1549563.8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16909.43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1080.24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1080.24</v>
      </c>
      <c r="H162" s="41">
        <f>SUM(H150:H161)</f>
        <v>16909.43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1080.24</v>
      </c>
      <c r="H169" s="41">
        <f>H147+H162+SUM(H163:H168)</f>
        <v>16909.43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25000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25000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25000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1991652.4300000002</v>
      </c>
      <c r="G193" s="47">
        <f>G112+G140+G169+G192</f>
        <v>1165.6400000000001</v>
      </c>
      <c r="H193" s="47">
        <f>H112+H140+H169+H192</f>
        <v>16909.43</v>
      </c>
      <c r="I193" s="47">
        <f>I112+I140+I169+I192</f>
        <v>0</v>
      </c>
      <c r="J193" s="47">
        <f>J112+J140+J192</f>
        <v>27334.489999999998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473793.22</v>
      </c>
      <c r="G197" s="18">
        <v>191828.46</v>
      </c>
      <c r="H197" s="18">
        <v>450</v>
      </c>
      <c r="I197" s="18">
        <v>15406.85</v>
      </c>
      <c r="J197" s="18">
        <v>770.77</v>
      </c>
      <c r="K197" s="18"/>
      <c r="L197" s="19">
        <f>SUM(F197:K197)</f>
        <v>682249.29999999993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80022</v>
      </c>
      <c r="G198" s="18">
        <v>31892.46</v>
      </c>
      <c r="H198" s="18">
        <v>11740.13</v>
      </c>
      <c r="I198" s="18">
        <v>2344.37</v>
      </c>
      <c r="J198" s="18"/>
      <c r="K198" s="18">
        <v>89</v>
      </c>
      <c r="L198" s="19">
        <f>SUM(F198:K198)</f>
        <v>126087.95999999999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1869.65</v>
      </c>
      <c r="G200" s="18">
        <v>143.75</v>
      </c>
      <c r="H200" s="18">
        <v>3083.5</v>
      </c>
      <c r="I200" s="18">
        <v>104.23</v>
      </c>
      <c r="J200" s="18"/>
      <c r="K200" s="18"/>
      <c r="L200" s="19">
        <f>SUM(F200:K200)</f>
        <v>5201.1299999999992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45563.16</v>
      </c>
      <c r="G202" s="18">
        <v>18159.02</v>
      </c>
      <c r="H202" s="18">
        <v>3720</v>
      </c>
      <c r="I202" s="18">
        <v>1205.55</v>
      </c>
      <c r="J202" s="18"/>
      <c r="K202" s="18"/>
      <c r="L202" s="19">
        <f t="shared" ref="L202:L208" si="0">SUM(F202:K202)</f>
        <v>68647.73000000001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>
        <v>2409.04</v>
      </c>
      <c r="H203" s="18">
        <v>8327.2999999999993</v>
      </c>
      <c r="I203" s="18">
        <v>3444.74</v>
      </c>
      <c r="J203" s="18">
        <v>13786.37</v>
      </c>
      <c r="K203" s="18">
        <v>109</v>
      </c>
      <c r="L203" s="19">
        <f t="shared" si="0"/>
        <v>28076.45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3840</v>
      </c>
      <c r="G204" s="18">
        <v>295.25</v>
      </c>
      <c r="H204" s="18">
        <v>104649.73</v>
      </c>
      <c r="I204" s="18">
        <v>178.13</v>
      </c>
      <c r="J204" s="18"/>
      <c r="K204" s="18">
        <v>3580.34</v>
      </c>
      <c r="L204" s="19">
        <f t="shared" si="0"/>
        <v>112543.45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16819.8</v>
      </c>
      <c r="G205" s="18">
        <v>1293.23</v>
      </c>
      <c r="H205" s="18">
        <v>4143.13</v>
      </c>
      <c r="I205" s="18">
        <v>430.26</v>
      </c>
      <c r="J205" s="18"/>
      <c r="K205" s="18"/>
      <c r="L205" s="19">
        <f t="shared" si="0"/>
        <v>22686.42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>
        <v>1154.58</v>
      </c>
      <c r="L206" s="19">
        <f t="shared" si="0"/>
        <v>1154.58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35307.54</v>
      </c>
      <c r="G207" s="18">
        <v>2714.7</v>
      </c>
      <c r="H207" s="18">
        <v>25054.639999999999</v>
      </c>
      <c r="I207" s="18">
        <v>21384.85</v>
      </c>
      <c r="J207" s="18">
        <v>289.02</v>
      </c>
      <c r="K207" s="18"/>
      <c r="L207" s="19">
        <f t="shared" si="0"/>
        <v>84750.75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3308.94</v>
      </c>
      <c r="I208" s="18"/>
      <c r="J208" s="18"/>
      <c r="K208" s="18"/>
      <c r="L208" s="19">
        <f t="shared" si="0"/>
        <v>3308.94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2000</v>
      </c>
      <c r="G209" s="18">
        <v>288.77</v>
      </c>
      <c r="H209" s="18">
        <v>1184.82</v>
      </c>
      <c r="I209" s="18">
        <v>80.319999999999993</v>
      </c>
      <c r="J209" s="18">
        <v>10483</v>
      </c>
      <c r="K209" s="18"/>
      <c r="L209" s="19">
        <f>SUM(F209:K209)</f>
        <v>14036.91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659215.37000000011</v>
      </c>
      <c r="G211" s="41">
        <f t="shared" si="1"/>
        <v>249024.68</v>
      </c>
      <c r="H211" s="41">
        <f t="shared" si="1"/>
        <v>165662.19</v>
      </c>
      <c r="I211" s="41">
        <f t="shared" si="1"/>
        <v>44579.299999999996</v>
      </c>
      <c r="J211" s="41">
        <f t="shared" si="1"/>
        <v>25329.160000000003</v>
      </c>
      <c r="K211" s="41">
        <f t="shared" si="1"/>
        <v>4932.92</v>
      </c>
      <c r="L211" s="41">
        <f t="shared" si="1"/>
        <v>1148743.6199999996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v>401357.1</v>
      </c>
      <c r="I215" s="18"/>
      <c r="J215" s="18"/>
      <c r="K215" s="18"/>
      <c r="L215" s="19">
        <f>SUM(F215:K215)</f>
        <v>401357.1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480</v>
      </c>
      <c r="G222" s="18">
        <v>36.909999999999997</v>
      </c>
      <c r="H222" s="18">
        <v>13081.22</v>
      </c>
      <c r="I222" s="18">
        <v>22.27</v>
      </c>
      <c r="J222" s="18"/>
      <c r="K222" s="18">
        <v>447.54</v>
      </c>
      <c r="L222" s="19">
        <f t="shared" si="2"/>
        <v>14067.94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13927.65</v>
      </c>
      <c r="I226" s="18"/>
      <c r="J226" s="18"/>
      <c r="K226" s="18"/>
      <c r="L226" s="19">
        <f t="shared" si="2"/>
        <v>13927.65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480</v>
      </c>
      <c r="G229" s="41">
        <f>SUM(G215:G228)</f>
        <v>36.909999999999997</v>
      </c>
      <c r="H229" s="41">
        <f>SUM(H215:H228)</f>
        <v>428365.97</v>
      </c>
      <c r="I229" s="41">
        <f>SUM(I215:I228)</f>
        <v>22.27</v>
      </c>
      <c r="J229" s="41">
        <f>SUM(J215:J228)</f>
        <v>0</v>
      </c>
      <c r="K229" s="41">
        <f t="shared" si="3"/>
        <v>447.54</v>
      </c>
      <c r="L229" s="41">
        <f t="shared" si="3"/>
        <v>429352.69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418380</v>
      </c>
      <c r="I233" s="18"/>
      <c r="J233" s="18"/>
      <c r="K233" s="18"/>
      <c r="L233" s="19">
        <f>SUM(F233:K233)</f>
        <v>418380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7346</v>
      </c>
      <c r="G234" s="18">
        <v>564.80999999999995</v>
      </c>
      <c r="H234" s="18">
        <v>5996.39</v>
      </c>
      <c r="I234" s="18"/>
      <c r="J234" s="18"/>
      <c r="K234" s="18"/>
      <c r="L234" s="19">
        <f>SUM(F234:K234)</f>
        <v>13907.2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480</v>
      </c>
      <c r="G240" s="18">
        <v>36.9</v>
      </c>
      <c r="H240" s="18">
        <v>13081.21</v>
      </c>
      <c r="I240" s="18">
        <v>22.27</v>
      </c>
      <c r="J240" s="18"/>
      <c r="K240" s="18">
        <v>447.54</v>
      </c>
      <c r="L240" s="19">
        <f t="shared" si="4"/>
        <v>14067.92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13927.65</v>
      </c>
      <c r="I244" s="18"/>
      <c r="J244" s="18"/>
      <c r="K244" s="18"/>
      <c r="L244" s="19">
        <f t="shared" si="4"/>
        <v>13927.65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7826</v>
      </c>
      <c r="G247" s="41">
        <f t="shared" si="5"/>
        <v>601.70999999999992</v>
      </c>
      <c r="H247" s="41">
        <f t="shared" si="5"/>
        <v>451385.25000000006</v>
      </c>
      <c r="I247" s="41">
        <f t="shared" si="5"/>
        <v>22.27</v>
      </c>
      <c r="J247" s="41">
        <f t="shared" si="5"/>
        <v>0</v>
      </c>
      <c r="K247" s="41">
        <f t="shared" si="5"/>
        <v>447.54</v>
      </c>
      <c r="L247" s="41">
        <f t="shared" si="5"/>
        <v>460282.77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1580</v>
      </c>
      <c r="I255" s="18"/>
      <c r="J255" s="18"/>
      <c r="K255" s="18"/>
      <c r="L255" s="19">
        <f t="shared" si="6"/>
        <v>1580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1580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1580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667521.37000000011</v>
      </c>
      <c r="G257" s="41">
        <f t="shared" si="8"/>
        <v>249663.3</v>
      </c>
      <c r="H257" s="41">
        <f t="shared" si="8"/>
        <v>1046993.4099999999</v>
      </c>
      <c r="I257" s="41">
        <f t="shared" si="8"/>
        <v>44623.839999999989</v>
      </c>
      <c r="J257" s="41">
        <f t="shared" si="8"/>
        <v>25329.160000000003</v>
      </c>
      <c r="K257" s="41">
        <f t="shared" si="8"/>
        <v>5828</v>
      </c>
      <c r="L257" s="41">
        <f t="shared" si="8"/>
        <v>2039959.0799999996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25000</v>
      </c>
      <c r="L266" s="19">
        <f t="shared" si="9"/>
        <v>25000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25000</v>
      </c>
      <c r="L270" s="41">
        <f t="shared" si="9"/>
        <v>25000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667521.37000000011</v>
      </c>
      <c r="G271" s="42">
        <f t="shared" si="11"/>
        <v>249663.3</v>
      </c>
      <c r="H271" s="42">
        <f t="shared" si="11"/>
        <v>1046993.4099999999</v>
      </c>
      <c r="I271" s="42">
        <f t="shared" si="11"/>
        <v>44623.839999999989</v>
      </c>
      <c r="J271" s="42">
        <f t="shared" si="11"/>
        <v>25329.160000000003</v>
      </c>
      <c r="K271" s="42">
        <f t="shared" si="11"/>
        <v>30828</v>
      </c>
      <c r="L271" s="42">
        <f t="shared" si="11"/>
        <v>2064959.0799999996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>
        <v>787</v>
      </c>
      <c r="H282" s="18">
        <v>850</v>
      </c>
      <c r="I282" s="18"/>
      <c r="J282" s="18">
        <v>13826.63</v>
      </c>
      <c r="K282" s="18">
        <v>1445.8</v>
      </c>
      <c r="L282" s="19">
        <f t="shared" si="12"/>
        <v>16909.43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787</v>
      </c>
      <c r="H290" s="42">
        <f t="shared" si="13"/>
        <v>850</v>
      </c>
      <c r="I290" s="42">
        <f t="shared" si="13"/>
        <v>0</v>
      </c>
      <c r="J290" s="42">
        <f t="shared" si="13"/>
        <v>13826.63</v>
      </c>
      <c r="K290" s="42">
        <f t="shared" si="13"/>
        <v>1445.8</v>
      </c>
      <c r="L290" s="41">
        <f t="shared" si="13"/>
        <v>16909.43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787</v>
      </c>
      <c r="H338" s="41">
        <f t="shared" si="20"/>
        <v>850</v>
      </c>
      <c r="I338" s="41">
        <f t="shared" si="20"/>
        <v>0</v>
      </c>
      <c r="J338" s="41">
        <f t="shared" si="20"/>
        <v>13826.63</v>
      </c>
      <c r="K338" s="41">
        <f t="shared" si="20"/>
        <v>1445.8</v>
      </c>
      <c r="L338" s="41">
        <f t="shared" si="20"/>
        <v>16909.43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787</v>
      </c>
      <c r="H352" s="41">
        <f>H338</f>
        <v>850</v>
      </c>
      <c r="I352" s="41">
        <f>I338</f>
        <v>0</v>
      </c>
      <c r="J352" s="41">
        <f>J338</f>
        <v>13826.63</v>
      </c>
      <c r="K352" s="47">
        <f>K338+K351</f>
        <v>1445.8</v>
      </c>
      <c r="L352" s="41">
        <f>L338+L351</f>
        <v>16909.43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>
        <v>114.95</v>
      </c>
      <c r="I358" s="18">
        <v>951.34</v>
      </c>
      <c r="J358" s="18"/>
      <c r="K358" s="18"/>
      <c r="L358" s="13">
        <f>SUM(F358:K358)</f>
        <v>1066.29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114.95</v>
      </c>
      <c r="I362" s="47">
        <f t="shared" si="22"/>
        <v>951.34</v>
      </c>
      <c r="J362" s="47">
        <f t="shared" si="22"/>
        <v>0</v>
      </c>
      <c r="K362" s="47">
        <f t="shared" si="22"/>
        <v>0</v>
      </c>
      <c r="L362" s="47">
        <f t="shared" si="22"/>
        <v>1066.29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951.34</v>
      </c>
      <c r="G367" s="18"/>
      <c r="H367" s="18"/>
      <c r="I367" s="56">
        <f>SUM(F367:H367)</f>
        <v>951.34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951.34</v>
      </c>
      <c r="G369" s="47">
        <f>SUM(G367:G368)</f>
        <v>0</v>
      </c>
      <c r="H369" s="47">
        <f>SUM(H367:H368)</f>
        <v>0</v>
      </c>
      <c r="I369" s="47">
        <f>SUM(I367:I368)</f>
        <v>951.34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v>5.7</v>
      </c>
      <c r="I396" s="18"/>
      <c r="J396" s="24" t="s">
        <v>289</v>
      </c>
      <c r="K396" s="24" t="s">
        <v>289</v>
      </c>
      <c r="L396" s="56">
        <f t="shared" si="26"/>
        <v>25005.7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1622.7</v>
      </c>
      <c r="I397" s="18"/>
      <c r="J397" s="24" t="s">
        <v>289</v>
      </c>
      <c r="K397" s="24" t="s">
        <v>289</v>
      </c>
      <c r="L397" s="56">
        <f t="shared" si="26"/>
        <v>1622.7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706.09</v>
      </c>
      <c r="I398" s="18"/>
      <c r="J398" s="24" t="s">
        <v>289</v>
      </c>
      <c r="K398" s="24" t="s">
        <v>289</v>
      </c>
      <c r="L398" s="56">
        <f t="shared" si="26"/>
        <v>706.09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25000</v>
      </c>
      <c r="H401" s="47">
        <f>SUM(H395:H400)</f>
        <v>2334.4900000000002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27334.49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25000</v>
      </c>
      <c r="H408" s="47">
        <f>H393+H401+H407</f>
        <v>2334.4900000000002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27334.49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>
        <v>12775</v>
      </c>
      <c r="I423" s="18"/>
      <c r="J423" s="18"/>
      <c r="K423" s="18"/>
      <c r="L423" s="56">
        <f t="shared" si="29"/>
        <v>12775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>
        <v>30000</v>
      </c>
      <c r="I424" s="18"/>
      <c r="J424" s="18"/>
      <c r="K424" s="18"/>
      <c r="L424" s="56">
        <f t="shared" si="29"/>
        <v>30000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42775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42775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42775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42775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181834.84</v>
      </c>
      <c r="H439" s="18"/>
      <c r="I439" s="56">
        <f t="shared" ref="I439:I445" si="33">SUM(F439:H439)</f>
        <v>181834.84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181834.84</v>
      </c>
      <c r="H446" s="13">
        <f>SUM(H439:H445)</f>
        <v>0</v>
      </c>
      <c r="I446" s="13">
        <f>SUM(I439:I445)</f>
        <v>181834.84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181834.84</v>
      </c>
      <c r="H459" s="18"/>
      <c r="I459" s="56">
        <f t="shared" si="34"/>
        <v>181834.84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181834.84</v>
      </c>
      <c r="H460" s="83">
        <f>SUM(H454:H459)</f>
        <v>0</v>
      </c>
      <c r="I460" s="83">
        <f>SUM(I454:I459)</f>
        <v>181834.84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181834.84</v>
      </c>
      <c r="H461" s="42">
        <f>H452+H460</f>
        <v>0</v>
      </c>
      <c r="I461" s="42">
        <f>I452+I460</f>
        <v>181834.84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105108.08</v>
      </c>
      <c r="G465" s="18">
        <v>23.67</v>
      </c>
      <c r="H465" s="18">
        <v>0</v>
      </c>
      <c r="I465" s="18">
        <v>0</v>
      </c>
      <c r="J465" s="18">
        <v>197275.35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1991652.43</v>
      </c>
      <c r="G468" s="18">
        <v>1165.6400000000001</v>
      </c>
      <c r="H468" s="18">
        <v>16909.43</v>
      </c>
      <c r="I468" s="18"/>
      <c r="J468" s="18">
        <v>27334.49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1991652.43</v>
      </c>
      <c r="G470" s="53">
        <f>SUM(G468:G469)</f>
        <v>1165.6400000000001</v>
      </c>
      <c r="H470" s="53">
        <f>SUM(H468:H469)</f>
        <v>16909.43</v>
      </c>
      <c r="I470" s="53">
        <f>SUM(I468:I469)</f>
        <v>0</v>
      </c>
      <c r="J470" s="53">
        <f>SUM(J468:J469)</f>
        <v>27334.49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2064959.08</v>
      </c>
      <c r="G472" s="18">
        <v>1066.29</v>
      </c>
      <c r="H472" s="18">
        <v>16909.43</v>
      </c>
      <c r="I472" s="18"/>
      <c r="J472" s="18">
        <v>42775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2064959.08</v>
      </c>
      <c r="G474" s="53">
        <f>SUM(G472:G473)</f>
        <v>1066.29</v>
      </c>
      <c r="H474" s="53">
        <f>SUM(H472:H473)</f>
        <v>16909.43</v>
      </c>
      <c r="I474" s="53">
        <f>SUM(I472:I473)</f>
        <v>0</v>
      </c>
      <c r="J474" s="53">
        <f>SUM(J472:J473)</f>
        <v>42775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31801.429999999935</v>
      </c>
      <c r="G476" s="53">
        <f>(G465+G470)- G474</f>
        <v>123.02000000000021</v>
      </c>
      <c r="H476" s="53">
        <f>(H465+H470)- H474</f>
        <v>0</v>
      </c>
      <c r="I476" s="53">
        <f>(I465+I470)- I474</f>
        <v>0</v>
      </c>
      <c r="J476" s="53">
        <f>(J465+J470)- J474</f>
        <v>181834.84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80022</v>
      </c>
      <c r="G521" s="18">
        <v>26754.82</v>
      </c>
      <c r="H521" s="18">
        <v>12141.23</v>
      </c>
      <c r="I521" s="18">
        <v>722.78</v>
      </c>
      <c r="J521" s="18"/>
      <c r="K521" s="18"/>
      <c r="L521" s="88">
        <f>SUM(F521:K521)</f>
        <v>119640.83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7346</v>
      </c>
      <c r="G523" s="18">
        <v>2456.09</v>
      </c>
      <c r="H523" s="18">
        <v>5996.39</v>
      </c>
      <c r="I523" s="18"/>
      <c r="J523" s="18"/>
      <c r="K523" s="18"/>
      <c r="L523" s="88">
        <f>SUM(F523:K523)</f>
        <v>15798.48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87368</v>
      </c>
      <c r="G524" s="108">
        <f t="shared" ref="G524:L524" si="36">SUM(G521:G523)</f>
        <v>29210.91</v>
      </c>
      <c r="H524" s="108">
        <f t="shared" si="36"/>
        <v>18137.62</v>
      </c>
      <c r="I524" s="108">
        <f t="shared" si="36"/>
        <v>722.78</v>
      </c>
      <c r="J524" s="108">
        <f t="shared" si="36"/>
        <v>0</v>
      </c>
      <c r="K524" s="108">
        <f t="shared" si="36"/>
        <v>0</v>
      </c>
      <c r="L524" s="89">
        <f t="shared" si="36"/>
        <v>135439.31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7036</v>
      </c>
      <c r="G526" s="18">
        <v>2804.17</v>
      </c>
      <c r="H526" s="18">
        <v>3220</v>
      </c>
      <c r="I526" s="18">
        <v>64.95</v>
      </c>
      <c r="J526" s="18"/>
      <c r="K526" s="18"/>
      <c r="L526" s="88">
        <f>SUM(F526:K526)</f>
        <v>13125.12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7036</v>
      </c>
      <c r="G529" s="89">
        <f t="shared" ref="G529:L529" si="37">SUM(G526:G528)</f>
        <v>2804.17</v>
      </c>
      <c r="H529" s="89">
        <f t="shared" si="37"/>
        <v>3220</v>
      </c>
      <c r="I529" s="89">
        <f t="shared" si="37"/>
        <v>64.95</v>
      </c>
      <c r="J529" s="89">
        <f t="shared" si="37"/>
        <v>0</v>
      </c>
      <c r="K529" s="89">
        <f t="shared" si="37"/>
        <v>0</v>
      </c>
      <c r="L529" s="89">
        <f t="shared" si="37"/>
        <v>13125.12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5754.07</v>
      </c>
      <c r="G531" s="18">
        <v>2628.82</v>
      </c>
      <c r="H531" s="18">
        <v>699.71</v>
      </c>
      <c r="I531" s="18">
        <v>201.02</v>
      </c>
      <c r="J531" s="18">
        <v>230.38</v>
      </c>
      <c r="K531" s="18">
        <v>74.84</v>
      </c>
      <c r="L531" s="88">
        <f>SUM(F531:K531)</f>
        <v>9588.8399999999983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1233.01</v>
      </c>
      <c r="G532" s="18">
        <v>563.32000000000005</v>
      </c>
      <c r="H532" s="18">
        <v>149.94</v>
      </c>
      <c r="I532" s="18">
        <v>43.08</v>
      </c>
      <c r="J532" s="18">
        <v>49.37</v>
      </c>
      <c r="K532" s="18">
        <v>16.04</v>
      </c>
      <c r="L532" s="88">
        <f>SUM(F532:K532)</f>
        <v>2054.7599999999998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1233.01</v>
      </c>
      <c r="G533" s="18">
        <v>563.32000000000005</v>
      </c>
      <c r="H533" s="18">
        <v>149.94</v>
      </c>
      <c r="I533" s="18">
        <v>43.08</v>
      </c>
      <c r="J533" s="18">
        <v>49.37</v>
      </c>
      <c r="K533" s="18">
        <v>16.04</v>
      </c>
      <c r="L533" s="88">
        <f>SUM(F533:K533)</f>
        <v>2054.7599999999998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8220.09</v>
      </c>
      <c r="G534" s="89">
        <f t="shared" ref="G534:L534" si="38">SUM(G531:G533)</f>
        <v>3755.4600000000005</v>
      </c>
      <c r="H534" s="89">
        <f t="shared" si="38"/>
        <v>999.59000000000015</v>
      </c>
      <c r="I534" s="89">
        <f t="shared" si="38"/>
        <v>287.18</v>
      </c>
      <c r="J534" s="89">
        <f t="shared" si="38"/>
        <v>329.12</v>
      </c>
      <c r="K534" s="89">
        <f t="shared" si="38"/>
        <v>106.91999999999999</v>
      </c>
      <c r="L534" s="89">
        <f t="shared" si="38"/>
        <v>13698.359999999999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148.9</v>
      </c>
      <c r="I536" s="18"/>
      <c r="J536" s="18"/>
      <c r="K536" s="18"/>
      <c r="L536" s="88">
        <f>SUM(F536:K536)</f>
        <v>148.9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148.9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148.9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102624.09</v>
      </c>
      <c r="G545" s="89">
        <f t="shared" ref="G545:L545" si="41">G524+G529+G534+G539+G544</f>
        <v>35770.54</v>
      </c>
      <c r="H545" s="89">
        <f t="shared" si="41"/>
        <v>22506.11</v>
      </c>
      <c r="I545" s="89">
        <f t="shared" si="41"/>
        <v>1074.9100000000001</v>
      </c>
      <c r="J545" s="89">
        <f t="shared" si="41"/>
        <v>329.12</v>
      </c>
      <c r="K545" s="89">
        <f t="shared" si="41"/>
        <v>106.91999999999999</v>
      </c>
      <c r="L545" s="89">
        <f t="shared" si="41"/>
        <v>162411.68999999997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119640.83</v>
      </c>
      <c r="G549" s="87">
        <f>L526</f>
        <v>13125.12</v>
      </c>
      <c r="H549" s="87">
        <f>L531</f>
        <v>9588.8399999999983</v>
      </c>
      <c r="I549" s="87">
        <f>L536</f>
        <v>148.9</v>
      </c>
      <c r="J549" s="87">
        <f>L541</f>
        <v>0</v>
      </c>
      <c r="K549" s="87">
        <f>SUM(F549:J549)</f>
        <v>142503.69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2054.7599999999998</v>
      </c>
      <c r="I550" s="87">
        <f>L537</f>
        <v>0</v>
      </c>
      <c r="J550" s="87">
        <f>L542</f>
        <v>0</v>
      </c>
      <c r="K550" s="87">
        <f>SUM(F550:J550)</f>
        <v>2054.7599999999998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15798.48</v>
      </c>
      <c r="G551" s="87">
        <f>L528</f>
        <v>0</v>
      </c>
      <c r="H551" s="87">
        <f>L533</f>
        <v>2054.7599999999998</v>
      </c>
      <c r="I551" s="87">
        <f>L538</f>
        <v>0</v>
      </c>
      <c r="J551" s="87">
        <f>L543</f>
        <v>0</v>
      </c>
      <c r="K551" s="87">
        <f>SUM(F551:J551)</f>
        <v>17853.239999999998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135439.31</v>
      </c>
      <c r="G552" s="89">
        <f t="shared" si="42"/>
        <v>13125.12</v>
      </c>
      <c r="H552" s="89">
        <f t="shared" si="42"/>
        <v>13698.359999999999</v>
      </c>
      <c r="I552" s="89">
        <f t="shared" si="42"/>
        <v>148.9</v>
      </c>
      <c r="J552" s="89">
        <f t="shared" si="42"/>
        <v>0</v>
      </c>
      <c r="K552" s="89">
        <f t="shared" si="42"/>
        <v>162411.69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>
        <v>1621.59</v>
      </c>
      <c r="J567" s="18"/>
      <c r="K567" s="18">
        <v>89</v>
      </c>
      <c r="L567" s="88">
        <f>SUM(F567:K567)</f>
        <v>1710.59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1621.59</v>
      </c>
      <c r="J570" s="193">
        <f t="shared" si="45"/>
        <v>0</v>
      </c>
      <c r="K570" s="193">
        <f t="shared" si="45"/>
        <v>89</v>
      </c>
      <c r="L570" s="193">
        <f t="shared" si="45"/>
        <v>1710.59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1621.59</v>
      </c>
      <c r="J571" s="89">
        <f t="shared" si="46"/>
        <v>0</v>
      </c>
      <c r="K571" s="89">
        <f t="shared" si="46"/>
        <v>89</v>
      </c>
      <c r="L571" s="89">
        <f t="shared" si="46"/>
        <v>1710.59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401357.1</v>
      </c>
      <c r="H575" s="18">
        <v>418380</v>
      </c>
      <c r="I575" s="87">
        <f>SUM(F575:H575)</f>
        <v>819737.1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245.23</v>
      </c>
      <c r="G579" s="18"/>
      <c r="H579" s="18">
        <v>5996.39</v>
      </c>
      <c r="I579" s="87">
        <f t="shared" si="47"/>
        <v>6241.62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550</v>
      </c>
      <c r="G582" s="18"/>
      <c r="H582" s="18"/>
      <c r="I582" s="87">
        <f t="shared" si="47"/>
        <v>550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/>
      <c r="I591" s="18">
        <v>13927.65</v>
      </c>
      <c r="J591" s="18">
        <v>13927.65</v>
      </c>
      <c r="K591" s="104">
        <f t="shared" ref="K591:K597" si="48">SUM(H591:J591)</f>
        <v>27855.3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1738.94</v>
      </c>
      <c r="I595" s="18"/>
      <c r="J595" s="18"/>
      <c r="K595" s="104">
        <f t="shared" si="48"/>
        <v>1738.94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1570</v>
      </c>
      <c r="I596" s="18"/>
      <c r="J596" s="18"/>
      <c r="K596" s="104">
        <f t="shared" si="48"/>
        <v>1570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3308.94</v>
      </c>
      <c r="I598" s="108">
        <f>SUM(I591:I597)</f>
        <v>13927.65</v>
      </c>
      <c r="J598" s="108">
        <f>SUM(J591:J597)</f>
        <v>13927.65</v>
      </c>
      <c r="K598" s="108">
        <f>SUM(K591:K597)</f>
        <v>31164.239999999998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39155.79</v>
      </c>
      <c r="I604" s="18"/>
      <c r="J604" s="18"/>
      <c r="K604" s="104">
        <f>SUM(H604:J604)</f>
        <v>39155.79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39155.79</v>
      </c>
      <c r="I605" s="108">
        <f>SUM(I602:I604)</f>
        <v>0</v>
      </c>
      <c r="J605" s="108">
        <f>SUM(J602:J604)</f>
        <v>0</v>
      </c>
      <c r="K605" s="108">
        <f>SUM(K602:K604)</f>
        <v>39155.79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>
        <v>550</v>
      </c>
      <c r="I611" s="18"/>
      <c r="J611" s="18"/>
      <c r="K611" s="18"/>
      <c r="L611" s="88">
        <f>SUM(F611:K611)</f>
        <v>550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550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550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57277.57</v>
      </c>
      <c r="H617" s="109">
        <f>SUM(F52)</f>
        <v>57277.57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142.63</v>
      </c>
      <c r="H618" s="109">
        <f>SUM(G52)</f>
        <v>142.63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181834.84</v>
      </c>
      <c r="H621" s="109">
        <f>SUM(J52)</f>
        <v>181834.84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31801.43</v>
      </c>
      <c r="H622" s="109">
        <f>F476</f>
        <v>31801.429999999935</v>
      </c>
      <c r="I622" s="121" t="s">
        <v>101</v>
      </c>
      <c r="J622" s="109">
        <f t="shared" ref="J622:J655" si="50">G622-H622</f>
        <v>6.5483618527650833E-11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123.02</v>
      </c>
      <c r="H623" s="109">
        <f>G476</f>
        <v>123.02000000000021</v>
      </c>
      <c r="I623" s="121" t="s">
        <v>102</v>
      </c>
      <c r="J623" s="109">
        <f t="shared" si="50"/>
        <v>-2.1316282072803006E-13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181834.84</v>
      </c>
      <c r="H626" s="109">
        <f>J476</f>
        <v>181834.84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1991652.4300000002</v>
      </c>
      <c r="H627" s="104">
        <f>SUM(F468)</f>
        <v>1991652.43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1165.6400000000001</v>
      </c>
      <c r="H628" s="104">
        <f>SUM(G468)</f>
        <v>1165.6400000000001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16909.43</v>
      </c>
      <c r="H629" s="104">
        <f>SUM(H468)</f>
        <v>16909.43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27334.489999999998</v>
      </c>
      <c r="H631" s="104">
        <f>SUM(J468)</f>
        <v>27334.49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2064959.0799999996</v>
      </c>
      <c r="H632" s="104">
        <f>SUM(F472)</f>
        <v>2064959.08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16909.43</v>
      </c>
      <c r="H633" s="104">
        <f>SUM(H472)</f>
        <v>16909.43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951.34</v>
      </c>
      <c r="H634" s="104">
        <f>I369</f>
        <v>951.34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1066.29</v>
      </c>
      <c r="H635" s="104">
        <f>SUM(G472)</f>
        <v>1066.29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27334.49</v>
      </c>
      <c r="H637" s="164">
        <f>SUM(J468)</f>
        <v>27334.49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42775</v>
      </c>
      <c r="H638" s="164">
        <f>SUM(J472)</f>
        <v>42775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181834.84</v>
      </c>
      <c r="H640" s="104">
        <f>SUM(G461)</f>
        <v>181834.84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181834.84</v>
      </c>
      <c r="H642" s="104">
        <f>SUM(I461)</f>
        <v>181834.84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2334.4899999999998</v>
      </c>
      <c r="H644" s="104">
        <f>H408</f>
        <v>2334.4900000000002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25000</v>
      </c>
      <c r="H645" s="104">
        <f>G408</f>
        <v>25000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27334.489999999998</v>
      </c>
      <c r="H646" s="104">
        <f>L408</f>
        <v>27334.49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31164.239999999998</v>
      </c>
      <c r="H647" s="104">
        <f>L208+L226+L244</f>
        <v>31164.239999999998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39155.79</v>
      </c>
      <c r="H648" s="104">
        <f>(J257+J338)-(J255+J336)</f>
        <v>39155.79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3308.94</v>
      </c>
      <c r="H649" s="104">
        <f>H598</f>
        <v>3308.94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13927.65</v>
      </c>
      <c r="H650" s="104">
        <f>I598</f>
        <v>13927.65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13927.65</v>
      </c>
      <c r="H651" s="104">
        <f>J598</f>
        <v>13927.65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25000</v>
      </c>
      <c r="H655" s="104">
        <f>K266+K347</f>
        <v>25000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1166719.3399999996</v>
      </c>
      <c r="G660" s="19">
        <f>(L229+L309+L359)</f>
        <v>429352.69</v>
      </c>
      <c r="H660" s="19">
        <f>(L247+L328+L360)</f>
        <v>460282.77</v>
      </c>
      <c r="I660" s="19">
        <f>SUM(F660:H660)</f>
        <v>2056354.7999999996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85.4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85.4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3308.94</v>
      </c>
      <c r="G662" s="19">
        <f>(L226+L306)-(J226+J306)</f>
        <v>13927.65</v>
      </c>
      <c r="H662" s="19">
        <f>(L244+L325)-(J244+J325)</f>
        <v>13927.65</v>
      </c>
      <c r="I662" s="19">
        <f>SUM(F662:H662)</f>
        <v>31164.239999999998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40501.020000000004</v>
      </c>
      <c r="G663" s="199">
        <f>SUM(G575:G587)+SUM(I602:I604)+L612</f>
        <v>401357.1</v>
      </c>
      <c r="H663" s="199">
        <f>SUM(H575:H587)+SUM(J602:J604)+L613</f>
        <v>424376.39</v>
      </c>
      <c r="I663" s="19">
        <f>SUM(F663:H663)</f>
        <v>866234.51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1122823.9799999995</v>
      </c>
      <c r="G664" s="19">
        <f>G660-SUM(G661:G663)</f>
        <v>14067.940000000002</v>
      </c>
      <c r="H664" s="19">
        <f>H660-SUM(H661:H663)</f>
        <v>21978.729999999981</v>
      </c>
      <c r="I664" s="19">
        <f>I660-SUM(I661:I663)</f>
        <v>1158870.6499999994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47.16</v>
      </c>
      <c r="G665" s="248"/>
      <c r="H665" s="248"/>
      <c r="I665" s="19">
        <f>SUM(F665:H665)</f>
        <v>47.16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23808.82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24573.17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>
        <v>-14067.94</v>
      </c>
      <c r="H669" s="18">
        <v>-21978.73</v>
      </c>
      <c r="I669" s="19">
        <f>SUM(F669:H669)</f>
        <v>-36046.67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23808.82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23808.82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3"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NEW CASTLE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473793.22</v>
      </c>
      <c r="C9" s="229">
        <f>'DOE25'!G197+'DOE25'!G215+'DOE25'!G233+'DOE25'!G276+'DOE25'!G295+'DOE25'!G314</f>
        <v>191828.46</v>
      </c>
    </row>
    <row r="10" spans="1:3" x14ac:dyDescent="0.2">
      <c r="A10" t="s">
        <v>779</v>
      </c>
      <c r="B10" s="240">
        <v>470430.41</v>
      </c>
      <c r="C10" s="240">
        <v>190466.48</v>
      </c>
    </row>
    <row r="11" spans="1:3" x14ac:dyDescent="0.2">
      <c r="A11" t="s">
        <v>780</v>
      </c>
      <c r="B11" s="240">
        <v>0</v>
      </c>
      <c r="C11" s="240">
        <v>0</v>
      </c>
    </row>
    <row r="12" spans="1:3" x14ac:dyDescent="0.2">
      <c r="A12" t="s">
        <v>781</v>
      </c>
      <c r="B12" s="240">
        <v>3362.81</v>
      </c>
      <c r="C12" s="240">
        <v>1361.98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473793.22</v>
      </c>
      <c r="C13" s="231">
        <f>SUM(C10:C12)</f>
        <v>191828.46000000002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87368</v>
      </c>
      <c r="C18" s="229">
        <f>'DOE25'!G198+'DOE25'!G216+'DOE25'!G234+'DOE25'!G277+'DOE25'!G296+'DOE25'!G315</f>
        <v>32457.27</v>
      </c>
    </row>
    <row r="19" spans="1:3" x14ac:dyDescent="0.2">
      <c r="A19" t="s">
        <v>779</v>
      </c>
      <c r="B19" s="240">
        <v>35953</v>
      </c>
      <c r="C19" s="240">
        <v>13729.43</v>
      </c>
    </row>
    <row r="20" spans="1:3" x14ac:dyDescent="0.2">
      <c r="A20" t="s">
        <v>780</v>
      </c>
      <c r="B20" s="240">
        <v>44069</v>
      </c>
      <c r="C20" s="240">
        <v>16374.69</v>
      </c>
    </row>
    <row r="21" spans="1:3" x14ac:dyDescent="0.2">
      <c r="A21" t="s">
        <v>781</v>
      </c>
      <c r="B21" s="240">
        <v>7346</v>
      </c>
      <c r="C21" s="240">
        <v>2353.15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87368</v>
      </c>
      <c r="C22" s="231">
        <f>SUM(C19:C21)</f>
        <v>32457.270000000004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1869.65</v>
      </c>
      <c r="C36" s="235">
        <f>'DOE25'!G200+'DOE25'!G218+'DOE25'!G236+'DOE25'!G279+'DOE25'!G298+'DOE25'!G317</f>
        <v>143.75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>
        <v>1469.65</v>
      </c>
      <c r="C38" s="240">
        <v>112.99</v>
      </c>
    </row>
    <row r="39" spans="1:3" x14ac:dyDescent="0.2">
      <c r="A39" t="s">
        <v>781</v>
      </c>
      <c r="B39" s="240">
        <v>400</v>
      </c>
      <c r="C39" s="240">
        <v>30.76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1869.65</v>
      </c>
      <c r="C40" s="231">
        <f>SUM(C37:C39)</f>
        <v>143.75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NEW CASTLE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1647182.6899999997</v>
      </c>
      <c r="D5" s="20">
        <f>SUM('DOE25'!L197:L200)+SUM('DOE25'!L215:L218)+SUM('DOE25'!L233:L236)-F5-G5</f>
        <v>1646322.9199999997</v>
      </c>
      <c r="E5" s="243"/>
      <c r="F5" s="255">
        <f>SUM('DOE25'!J197:J200)+SUM('DOE25'!J215:J218)+SUM('DOE25'!J233:J236)</f>
        <v>770.77</v>
      </c>
      <c r="G5" s="53">
        <f>SUM('DOE25'!K197:K200)+SUM('DOE25'!K215:K218)+SUM('DOE25'!K233:K236)</f>
        <v>89</v>
      </c>
      <c r="H5" s="259"/>
    </row>
    <row r="6" spans="1:9" x14ac:dyDescent="0.2">
      <c r="A6" s="32">
        <v>2100</v>
      </c>
      <c r="B6" t="s">
        <v>801</v>
      </c>
      <c r="C6" s="245">
        <f t="shared" si="0"/>
        <v>68647.73000000001</v>
      </c>
      <c r="D6" s="20">
        <f>'DOE25'!L202+'DOE25'!L220+'DOE25'!L238-F6-G6</f>
        <v>68647.73000000001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28076.45</v>
      </c>
      <c r="D7" s="20">
        <f>'DOE25'!L203+'DOE25'!L221+'DOE25'!L239-F7-G7</f>
        <v>14181.08</v>
      </c>
      <c r="E7" s="243"/>
      <c r="F7" s="255">
        <f>'DOE25'!J203+'DOE25'!J221+'DOE25'!J239</f>
        <v>13786.37</v>
      </c>
      <c r="G7" s="53">
        <f>'DOE25'!K203+'DOE25'!K221+'DOE25'!K239</f>
        <v>109</v>
      </c>
      <c r="H7" s="259"/>
    </row>
    <row r="8" spans="1:9" x14ac:dyDescent="0.2">
      <c r="A8" s="32">
        <v>2300</v>
      </c>
      <c r="B8" t="s">
        <v>802</v>
      </c>
      <c r="C8" s="245">
        <f t="shared" si="0"/>
        <v>72739.999999999985</v>
      </c>
      <c r="D8" s="243"/>
      <c r="E8" s="20">
        <f>'DOE25'!L204+'DOE25'!L222+'DOE25'!L240-F8-G8-D9-D11</f>
        <v>68264.579999999987</v>
      </c>
      <c r="F8" s="255">
        <f>'DOE25'!J204+'DOE25'!J222+'DOE25'!J240</f>
        <v>0</v>
      </c>
      <c r="G8" s="53">
        <f>'DOE25'!K204+'DOE25'!K222+'DOE25'!K240</f>
        <v>4475.42</v>
      </c>
      <c r="H8" s="259"/>
    </row>
    <row r="9" spans="1:9" x14ac:dyDescent="0.2">
      <c r="A9" s="32">
        <v>2310</v>
      </c>
      <c r="B9" t="s">
        <v>818</v>
      </c>
      <c r="C9" s="245">
        <f t="shared" si="0"/>
        <v>19039.310000000001</v>
      </c>
      <c r="D9" s="244">
        <v>19039.310000000001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2950</v>
      </c>
      <c r="D10" s="243"/>
      <c r="E10" s="244">
        <v>2950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48900</v>
      </c>
      <c r="D11" s="244">
        <v>48900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22686.42</v>
      </c>
      <c r="D12" s="20">
        <f>'DOE25'!L205+'DOE25'!L223+'DOE25'!L241-F12-G12</f>
        <v>22686.42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1154.58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1154.58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84750.75</v>
      </c>
      <c r="D14" s="20">
        <f>'DOE25'!L207+'DOE25'!L225+'DOE25'!L243-F14-G14</f>
        <v>84461.73</v>
      </c>
      <c r="E14" s="243"/>
      <c r="F14" s="255">
        <f>'DOE25'!J207+'DOE25'!J225+'DOE25'!J243</f>
        <v>289.02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31164.239999999998</v>
      </c>
      <c r="D15" s="20">
        <f>'DOE25'!L208+'DOE25'!L226+'DOE25'!L244-F15-G15</f>
        <v>31164.239999999998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14036.91</v>
      </c>
      <c r="D16" s="243"/>
      <c r="E16" s="20">
        <f>'DOE25'!L209+'DOE25'!L227+'DOE25'!L245-F16-G16</f>
        <v>3553.91</v>
      </c>
      <c r="F16" s="255">
        <f>'DOE25'!J209+'DOE25'!J227+'DOE25'!J245</f>
        <v>10483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1580</v>
      </c>
      <c r="D22" s="243"/>
      <c r="E22" s="243"/>
      <c r="F22" s="255">
        <f>'DOE25'!L255+'DOE25'!L336</f>
        <v>1580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114.94999999999993</v>
      </c>
      <c r="D29" s="20">
        <f>'DOE25'!L358+'DOE25'!L359+'DOE25'!L360-'DOE25'!I367-F29-G29</f>
        <v>114.94999999999993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16909.43</v>
      </c>
      <c r="D31" s="20">
        <f>'DOE25'!L290+'DOE25'!L309+'DOE25'!L328+'DOE25'!L333+'DOE25'!L334+'DOE25'!L335-F31-G31</f>
        <v>1637.0000000000011</v>
      </c>
      <c r="E31" s="243"/>
      <c r="F31" s="255">
        <f>'DOE25'!J290+'DOE25'!J309+'DOE25'!J328+'DOE25'!J333+'DOE25'!J334+'DOE25'!J335</f>
        <v>13826.63</v>
      </c>
      <c r="G31" s="53">
        <f>'DOE25'!K290+'DOE25'!K309+'DOE25'!K328+'DOE25'!K333+'DOE25'!K334+'DOE25'!K335</f>
        <v>1445.8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1937155.3799999997</v>
      </c>
      <c r="E33" s="246">
        <f>SUM(E5:E31)</f>
        <v>74768.489999999991</v>
      </c>
      <c r="F33" s="246">
        <f>SUM(F5:F31)</f>
        <v>40735.79</v>
      </c>
      <c r="G33" s="246">
        <f>SUM(G5:G31)</f>
        <v>7273.8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74768.489999999991</v>
      </c>
      <c r="E35" s="249"/>
    </row>
    <row r="36" spans="2:8" ht="12" thickTop="1" x14ac:dyDescent="0.2">
      <c r="B36" t="s">
        <v>815</v>
      </c>
      <c r="D36" s="20">
        <f>D33</f>
        <v>1937155.3799999997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NEW CASTLE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57277.57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181834.84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64.09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78.540000000000006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57277.57</v>
      </c>
      <c r="D18" s="41">
        <f>SUM(D8:D17)</f>
        <v>142.63</v>
      </c>
      <c r="E18" s="41">
        <f>SUM(E8:E17)</f>
        <v>0</v>
      </c>
      <c r="F18" s="41">
        <f>SUM(F8:F17)</f>
        <v>0</v>
      </c>
      <c r="G18" s="41">
        <f>SUM(G8:G17)</f>
        <v>181834.84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64.09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20288.060000000001</v>
      </c>
      <c r="D23" s="95">
        <f>'DOE25'!G24</f>
        <v>19.61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5123.99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25476.14</v>
      </c>
      <c r="D31" s="41">
        <f>SUM(D21:D30)</f>
        <v>19.61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123.02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30000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181834.84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1801.43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31801.43</v>
      </c>
      <c r="D50" s="41">
        <f>SUM(D34:D49)</f>
        <v>123.02</v>
      </c>
      <c r="E50" s="41">
        <f>SUM(E34:E49)</f>
        <v>0</v>
      </c>
      <c r="F50" s="41">
        <f>SUM(F34:F49)</f>
        <v>0</v>
      </c>
      <c r="G50" s="41">
        <f>SUM(G34:G49)</f>
        <v>181834.84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57277.57</v>
      </c>
      <c r="D51" s="41">
        <f>D50+D31</f>
        <v>142.63</v>
      </c>
      <c r="E51" s="41">
        <f>E50+E31</f>
        <v>0</v>
      </c>
      <c r="F51" s="41">
        <f>F50+F31</f>
        <v>0</v>
      </c>
      <c r="G51" s="41">
        <f>G50+G31</f>
        <v>181834.84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441387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2334.4899999999998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85.4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701.63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701.63</v>
      </c>
      <c r="D62" s="130">
        <f>SUM(D57:D61)</f>
        <v>85.4</v>
      </c>
      <c r="E62" s="130">
        <f>SUM(E57:E61)</f>
        <v>0</v>
      </c>
      <c r="F62" s="130">
        <f>SUM(F57:F61)</f>
        <v>0</v>
      </c>
      <c r="G62" s="130">
        <f>SUM(G57:G61)</f>
        <v>2334.4899999999998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442088.63</v>
      </c>
      <c r="D63" s="22">
        <f>D56+D62</f>
        <v>85.4</v>
      </c>
      <c r="E63" s="22">
        <f>E56+E62</f>
        <v>0</v>
      </c>
      <c r="F63" s="22">
        <f>F56+F62</f>
        <v>0</v>
      </c>
      <c r="G63" s="22">
        <f>G56+G62</f>
        <v>2334.4899999999998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1548755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1548755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808.8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808.8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1549563.8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1080.24</v>
      </c>
      <c r="E88" s="95">
        <f>SUM('DOE25'!H153:H161)</f>
        <v>16909.43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1080.24</v>
      </c>
      <c r="E91" s="131">
        <f>SUM(E85:E90)</f>
        <v>16909.43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25000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25000</v>
      </c>
    </row>
    <row r="104" spans="1:7" ht="12.75" thickTop="1" thickBot="1" x14ac:dyDescent="0.25">
      <c r="A104" s="33" t="s">
        <v>765</v>
      </c>
      <c r="C104" s="86">
        <f>C63+C81+C91+C103</f>
        <v>1991652.4300000002</v>
      </c>
      <c r="D104" s="86">
        <f>D63+D81+D91+D103</f>
        <v>1165.6400000000001</v>
      </c>
      <c r="E104" s="86">
        <f>E63+E81+E91+E103</f>
        <v>16909.43</v>
      </c>
      <c r="F104" s="86">
        <f>F63+F81+F91+F103</f>
        <v>0</v>
      </c>
      <c r="G104" s="86">
        <f>G63+G81+G103</f>
        <v>27334.489999999998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1501986.4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139995.16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5201.1299999999992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1647182.6899999997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68647.73000000001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28076.45</v>
      </c>
      <c r="D119" s="24" t="s">
        <v>289</v>
      </c>
      <c r="E119" s="95">
        <f>+('DOE25'!L282)+('DOE25'!L301)+('DOE25'!L320)</f>
        <v>16909.43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140679.31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22686.42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1154.58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84750.75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31164.239999999998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14036.91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1066.29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391196.38999999996</v>
      </c>
      <c r="D128" s="86">
        <f>SUM(D118:D127)</f>
        <v>1066.29</v>
      </c>
      <c r="E128" s="86">
        <f>SUM(E118:E127)</f>
        <v>16909.43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1580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27334.49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-2334.4900000000016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26580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2064959.0799999996</v>
      </c>
      <c r="D145" s="86">
        <f>(D115+D128+D144)</f>
        <v>1066.29</v>
      </c>
      <c r="E145" s="86">
        <f>(E115+E128+E144)</f>
        <v>16909.43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NEW CASTLE SCHOOL DISTRICT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23809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23809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1501986</v>
      </c>
      <c r="D10" s="182">
        <f>ROUND((C10/$C$28)*100,1)</f>
        <v>73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139995</v>
      </c>
      <c r="D11" s="182">
        <f>ROUND((C11/$C$28)*100,1)</f>
        <v>6.8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5201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68648</v>
      </c>
      <c r="D15" s="182">
        <f t="shared" ref="D15:D27" si="0">ROUND((C15/$C$28)*100,1)</f>
        <v>3.3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44986</v>
      </c>
      <c r="D16" s="182">
        <f t="shared" si="0"/>
        <v>2.2000000000000002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154716</v>
      </c>
      <c r="D17" s="182">
        <f t="shared" si="0"/>
        <v>7.5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22686</v>
      </c>
      <c r="D18" s="182">
        <f t="shared" si="0"/>
        <v>1.1000000000000001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1155</v>
      </c>
      <c r="D19" s="182">
        <f t="shared" si="0"/>
        <v>0.1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84751</v>
      </c>
      <c r="D20" s="182">
        <f t="shared" si="0"/>
        <v>4.0999999999999996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31164</v>
      </c>
      <c r="D21" s="182">
        <f t="shared" si="0"/>
        <v>1.5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980.6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2056268.6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1580</v>
      </c>
    </row>
    <row r="30" spans="1:4" x14ac:dyDescent="0.2">
      <c r="B30" s="187" t="s">
        <v>729</v>
      </c>
      <c r="C30" s="180">
        <f>SUM(C28:C29)</f>
        <v>2057848.6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441387</v>
      </c>
      <c r="D35" s="182">
        <f t="shared" ref="D35:D40" si="1">ROUND((C35/$C$41)*100,1)</f>
        <v>21.9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3036.1199999999953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1548755</v>
      </c>
      <c r="D37" s="182">
        <f t="shared" si="1"/>
        <v>77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809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17990</v>
      </c>
      <c r="D39" s="182">
        <f t="shared" si="1"/>
        <v>0.9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2011977.12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NEW CASTLE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2014-07-29T17:54:17Z</cp:lastPrinted>
  <dcterms:created xsi:type="dcterms:W3CDTF">1997-12-04T19:04:30Z</dcterms:created>
  <dcterms:modified xsi:type="dcterms:W3CDTF">2014-11-17T19:01:30Z</dcterms:modified>
</cp:coreProperties>
</file>