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90" windowWidth="12735" windowHeight="660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C112" i="2" s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C18" i="10" s="1"/>
  <c r="L223" i="1"/>
  <c r="L241" i="1"/>
  <c r="F14" i="13"/>
  <c r="G14" i="13"/>
  <c r="L207" i="1"/>
  <c r="C123" i="2" s="1"/>
  <c r="L225" i="1"/>
  <c r="L243" i="1"/>
  <c r="F15" i="13"/>
  <c r="G15" i="13"/>
  <c r="L208" i="1"/>
  <c r="L226" i="1"/>
  <c r="L244" i="1"/>
  <c r="H647" i="1" s="1"/>
  <c r="F17" i="13"/>
  <c r="G17" i="13"/>
  <c r="L251" i="1"/>
  <c r="F18" i="13"/>
  <c r="G18" i="13"/>
  <c r="L252" i="1"/>
  <c r="F19" i="13"/>
  <c r="G19" i="13"/>
  <c r="L253" i="1"/>
  <c r="F29" i="13"/>
  <c r="G29" i="13"/>
  <c r="L358" i="1"/>
  <c r="H661" i="1" s="1"/>
  <c r="L359" i="1"/>
  <c r="L360" i="1"/>
  <c r="I367" i="1"/>
  <c r="J290" i="1"/>
  <c r="J309" i="1"/>
  <c r="J328" i="1"/>
  <c r="K290" i="1"/>
  <c r="K309" i="1"/>
  <c r="K328" i="1"/>
  <c r="L276" i="1"/>
  <c r="L277" i="1"/>
  <c r="L278" i="1"/>
  <c r="L279" i="1"/>
  <c r="C13" i="10" s="1"/>
  <c r="L281" i="1"/>
  <c r="L282" i="1"/>
  <c r="L283" i="1"/>
  <c r="L284" i="1"/>
  <c r="L285" i="1"/>
  <c r="L286" i="1"/>
  <c r="L287" i="1"/>
  <c r="L288" i="1"/>
  <c r="L290" i="1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C130" i="2" s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H60" i="1"/>
  <c r="I60" i="1"/>
  <c r="F79" i="1"/>
  <c r="F94" i="1"/>
  <c r="F111" i="1"/>
  <c r="F112" i="1" s="1"/>
  <c r="G111" i="1"/>
  <c r="G112" i="1" s="1"/>
  <c r="H79" i="1"/>
  <c r="H94" i="1"/>
  <c r="H111" i="1"/>
  <c r="H112" i="1" s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I147" i="1"/>
  <c r="I162" i="1"/>
  <c r="C11" i="10"/>
  <c r="C12" i="10"/>
  <c r="C15" i="10"/>
  <c r="C19" i="10"/>
  <c r="L250" i="1"/>
  <c r="L332" i="1"/>
  <c r="L254" i="1"/>
  <c r="C25" i="10"/>
  <c r="L268" i="1"/>
  <c r="L269" i="1"/>
  <c r="L349" i="1"/>
  <c r="L350" i="1"/>
  <c r="I665" i="1"/>
  <c r="I670" i="1"/>
  <c r="L247" i="1"/>
  <c r="F661" i="1"/>
  <c r="G661" i="1"/>
  <c r="F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F552" i="1" s="1"/>
  <c r="L523" i="1"/>
  <c r="F551" i="1" s="1"/>
  <c r="L526" i="1"/>
  <c r="G549" i="1" s="1"/>
  <c r="G552" i="1" s="1"/>
  <c r="L527" i="1"/>
  <c r="G550" i="1" s="1"/>
  <c r="L528" i="1"/>
  <c r="G551" i="1" s="1"/>
  <c r="L531" i="1"/>
  <c r="H549" i="1" s="1"/>
  <c r="L532" i="1"/>
  <c r="H550" i="1" s="1"/>
  <c r="L533" i="1"/>
  <c r="H551" i="1" s="1"/>
  <c r="H552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E103" i="2" s="1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09" i="2"/>
  <c r="E110" i="2"/>
  <c r="C111" i="2"/>
  <c r="E111" i="2"/>
  <c r="C113" i="2"/>
  <c r="E113" i="2"/>
  <c r="C114" i="2"/>
  <c r="E114" i="2"/>
  <c r="D115" i="2"/>
  <c r="F115" i="2"/>
  <c r="G115" i="2"/>
  <c r="C118" i="2"/>
  <c r="E118" i="2"/>
  <c r="C119" i="2"/>
  <c r="E119" i="2"/>
  <c r="E120" i="2"/>
  <c r="E121" i="2"/>
  <c r="C122" i="2"/>
  <c r="E122" i="2"/>
  <c r="E123" i="2"/>
  <c r="E124" i="2"/>
  <c r="C125" i="2"/>
  <c r="E125" i="2"/>
  <c r="D127" i="2"/>
  <c r="D128" i="2" s="1"/>
  <c r="F128" i="2"/>
  <c r="G128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H19" i="1"/>
  <c r="I19" i="1"/>
  <c r="F32" i="1"/>
  <c r="F52" i="1" s="1"/>
  <c r="H617" i="1" s="1"/>
  <c r="G32" i="1"/>
  <c r="G52" i="1" s="1"/>
  <c r="H618" i="1" s="1"/>
  <c r="H32" i="1"/>
  <c r="I32" i="1"/>
  <c r="H51" i="1"/>
  <c r="H52" i="1" s="1"/>
  <c r="H619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K352" i="1" s="1"/>
  <c r="F362" i="1"/>
  <c r="G362" i="1"/>
  <c r="H362" i="1"/>
  <c r="I362" i="1"/>
  <c r="G634" i="1" s="1"/>
  <c r="J362" i="1"/>
  <c r="K362" i="1"/>
  <c r="I368" i="1"/>
  <c r="I369" i="1" s="1"/>
  <c r="H634" i="1" s="1"/>
  <c r="F369" i="1"/>
  <c r="G369" i="1"/>
  <c r="H369" i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H408" i="1" s="1"/>
  <c r="H644" i="1" s="1"/>
  <c r="I401" i="1"/>
  <c r="F407" i="1"/>
  <c r="G407" i="1"/>
  <c r="H407" i="1"/>
  <c r="I407" i="1"/>
  <c r="F408" i="1"/>
  <c r="G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F452" i="1"/>
  <c r="G452" i="1"/>
  <c r="H452" i="1"/>
  <c r="I452" i="1"/>
  <c r="F460" i="1"/>
  <c r="G460" i="1"/>
  <c r="H460" i="1"/>
  <c r="I460" i="1"/>
  <c r="I461" i="1" s="1"/>
  <c r="H642" i="1" s="1"/>
  <c r="F461" i="1"/>
  <c r="G461" i="1"/>
  <c r="H640" i="1" s="1"/>
  <c r="J640" i="1" s="1"/>
  <c r="H461" i="1"/>
  <c r="F470" i="1"/>
  <c r="G470" i="1"/>
  <c r="H470" i="1"/>
  <c r="H476" i="1" s="1"/>
  <c r="H624" i="1" s="1"/>
  <c r="I470" i="1"/>
  <c r="J470" i="1"/>
  <c r="F474" i="1"/>
  <c r="F476" i="1" s="1"/>
  <c r="H622" i="1" s="1"/>
  <c r="G474" i="1"/>
  <c r="H474" i="1"/>
  <c r="I474" i="1"/>
  <c r="I476" i="1" s="1"/>
  <c r="H625" i="1" s="1"/>
  <c r="J625" i="1" s="1"/>
  <c r="J474" i="1"/>
  <c r="K495" i="1"/>
  <c r="K496" i="1"/>
  <c r="K497" i="1"/>
  <c r="K498" i="1"/>
  <c r="K499" i="1"/>
  <c r="K500" i="1"/>
  <c r="K501" i="1"/>
  <c r="K502" i="1"/>
  <c r="K503" i="1"/>
  <c r="F517" i="1"/>
  <c r="G517" i="1"/>
  <c r="H517" i="1"/>
  <c r="I517" i="1"/>
  <c r="F524" i="1"/>
  <c r="G524" i="1"/>
  <c r="H524" i="1"/>
  <c r="H545" i="1" s="1"/>
  <c r="I524" i="1"/>
  <c r="J524" i="1"/>
  <c r="K524" i="1"/>
  <c r="F529" i="1"/>
  <c r="G529" i="1"/>
  <c r="H529" i="1"/>
  <c r="I529" i="1"/>
  <c r="J529" i="1"/>
  <c r="K529" i="1"/>
  <c r="F534" i="1"/>
  <c r="G534" i="1"/>
  <c r="H534" i="1"/>
  <c r="I534" i="1"/>
  <c r="J534" i="1"/>
  <c r="J545" i="1" s="1"/>
  <c r="K534" i="1"/>
  <c r="K545" i="1" s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8" i="1" s="1"/>
  <c r="G647" i="1" s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L614" i="1"/>
  <c r="G618" i="1"/>
  <c r="G619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H639" i="1"/>
  <c r="G640" i="1"/>
  <c r="G641" i="1"/>
  <c r="H641" i="1"/>
  <c r="G642" i="1"/>
  <c r="G643" i="1"/>
  <c r="H643" i="1"/>
  <c r="G644" i="1"/>
  <c r="G645" i="1"/>
  <c r="H645" i="1"/>
  <c r="G649" i="1"/>
  <c r="G650" i="1"/>
  <c r="G651" i="1"/>
  <c r="G652" i="1"/>
  <c r="H652" i="1"/>
  <c r="G653" i="1"/>
  <c r="H653" i="1"/>
  <c r="G654" i="1"/>
  <c r="H654" i="1"/>
  <c r="H655" i="1"/>
  <c r="F192" i="1"/>
  <c r="L256" i="1"/>
  <c r="G164" i="2"/>
  <c r="C18" i="2"/>
  <c r="C26" i="10"/>
  <c r="L328" i="1"/>
  <c r="L351" i="1"/>
  <c r="A31" i="12"/>
  <c r="C70" i="2"/>
  <c r="D62" i="2"/>
  <c r="D63" i="2" s="1"/>
  <c r="D18" i="13"/>
  <c r="C18" i="13" s="1"/>
  <c r="D15" i="13"/>
  <c r="C15" i="13" s="1"/>
  <c r="D7" i="13"/>
  <c r="C7" i="13" s="1"/>
  <c r="D18" i="2"/>
  <c r="D17" i="13"/>
  <c r="C17" i="13" s="1"/>
  <c r="D6" i="13"/>
  <c r="C6" i="13" s="1"/>
  <c r="C91" i="2"/>
  <c r="F78" i="2"/>
  <c r="F81" i="2" s="1"/>
  <c r="D31" i="2"/>
  <c r="C78" i="2"/>
  <c r="D50" i="2"/>
  <c r="G157" i="2"/>
  <c r="F18" i="2"/>
  <c r="G161" i="2"/>
  <c r="G156" i="2"/>
  <c r="D91" i="2"/>
  <c r="E62" i="2"/>
  <c r="E63" i="2" s="1"/>
  <c r="E31" i="2"/>
  <c r="G62" i="2"/>
  <c r="D29" i="13"/>
  <c r="C29" i="13" s="1"/>
  <c r="D19" i="13"/>
  <c r="C19" i="13" s="1"/>
  <c r="E13" i="13"/>
  <c r="C13" i="13" s="1"/>
  <c r="E78" i="2"/>
  <c r="E81" i="2" s="1"/>
  <c r="L427" i="1"/>
  <c r="J641" i="1"/>
  <c r="J639" i="1"/>
  <c r="J571" i="1"/>
  <c r="K571" i="1"/>
  <c r="L433" i="1"/>
  <c r="L419" i="1"/>
  <c r="D81" i="2"/>
  <c r="I169" i="1"/>
  <c r="H169" i="1"/>
  <c r="J643" i="1"/>
  <c r="J476" i="1"/>
  <c r="H626" i="1" s="1"/>
  <c r="G338" i="1"/>
  <c r="G352" i="1" s="1"/>
  <c r="F169" i="1"/>
  <c r="J140" i="1"/>
  <c r="F571" i="1"/>
  <c r="I552" i="1"/>
  <c r="K550" i="1"/>
  <c r="G22" i="2"/>
  <c r="C29" i="10"/>
  <c r="H140" i="1"/>
  <c r="L401" i="1"/>
  <c r="C139" i="2" s="1"/>
  <c r="L393" i="1"/>
  <c r="F22" i="13"/>
  <c r="C22" i="13" s="1"/>
  <c r="H25" i="13"/>
  <c r="C25" i="13" s="1"/>
  <c r="H571" i="1"/>
  <c r="L560" i="1"/>
  <c r="H338" i="1"/>
  <c r="H352" i="1" s="1"/>
  <c r="F338" i="1"/>
  <c r="F352" i="1" s="1"/>
  <c r="G192" i="1"/>
  <c r="H192" i="1"/>
  <c r="C35" i="10"/>
  <c r="L309" i="1"/>
  <c r="D5" i="13"/>
  <c r="C5" i="13" s="1"/>
  <c r="E16" i="13"/>
  <c r="C16" i="13" s="1"/>
  <c r="J655" i="1"/>
  <c r="J645" i="1"/>
  <c r="L570" i="1"/>
  <c r="I571" i="1"/>
  <c r="J636" i="1"/>
  <c r="G36" i="2"/>
  <c r="L565" i="1"/>
  <c r="C138" i="2"/>
  <c r="H33" i="13"/>
  <c r="A40" i="12" l="1"/>
  <c r="A13" i="12"/>
  <c r="L529" i="1"/>
  <c r="G545" i="1"/>
  <c r="K549" i="1"/>
  <c r="L524" i="1"/>
  <c r="I545" i="1"/>
  <c r="J651" i="1"/>
  <c r="J649" i="1"/>
  <c r="J552" i="1"/>
  <c r="K551" i="1"/>
  <c r="L534" i="1"/>
  <c r="G476" i="1"/>
  <c r="H623" i="1" s="1"/>
  <c r="J623" i="1" s="1"/>
  <c r="J644" i="1"/>
  <c r="J634" i="1"/>
  <c r="I661" i="1"/>
  <c r="D145" i="2"/>
  <c r="L362" i="1"/>
  <c r="C27" i="10" s="1"/>
  <c r="E128" i="2"/>
  <c r="C16" i="10"/>
  <c r="E112" i="2"/>
  <c r="E115" i="2" s="1"/>
  <c r="J338" i="1"/>
  <c r="J352" i="1" s="1"/>
  <c r="C21" i="10"/>
  <c r="K257" i="1"/>
  <c r="K271" i="1" s="1"/>
  <c r="G257" i="1"/>
  <c r="G271" i="1" s="1"/>
  <c r="F257" i="1"/>
  <c r="F271" i="1" s="1"/>
  <c r="C110" i="2"/>
  <c r="H660" i="1"/>
  <c r="H664" i="1" s="1"/>
  <c r="H672" i="1" s="1"/>
  <c r="C6" i="10" s="1"/>
  <c r="H257" i="1"/>
  <c r="H271" i="1" s="1"/>
  <c r="J647" i="1"/>
  <c r="C124" i="2"/>
  <c r="G662" i="1"/>
  <c r="I662" i="1" s="1"/>
  <c r="L229" i="1"/>
  <c r="G660" i="1" s="1"/>
  <c r="C17" i="10"/>
  <c r="C10" i="10"/>
  <c r="C20" i="10"/>
  <c r="D14" i="13"/>
  <c r="C14" i="13" s="1"/>
  <c r="D12" i="13"/>
  <c r="C12" i="13" s="1"/>
  <c r="C121" i="2"/>
  <c r="E8" i="13"/>
  <c r="C8" i="13" s="1"/>
  <c r="C120" i="2"/>
  <c r="C109" i="2"/>
  <c r="C115" i="2" s="1"/>
  <c r="L211" i="1"/>
  <c r="F660" i="1" s="1"/>
  <c r="C81" i="2"/>
  <c r="C62" i="2"/>
  <c r="C63" i="2" s="1"/>
  <c r="J624" i="1"/>
  <c r="J622" i="1"/>
  <c r="J617" i="1"/>
  <c r="L337" i="1"/>
  <c r="F62" i="2"/>
  <c r="F63" i="2" s="1"/>
  <c r="F104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L338" i="1"/>
  <c r="L352" i="1" s="1"/>
  <c r="G633" i="1" s="1"/>
  <c r="J633" i="1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D31" i="13" s="1"/>
  <c r="C31" i="13" s="1"/>
  <c r="J193" i="1"/>
  <c r="G646" i="1" s="1"/>
  <c r="H193" i="1"/>
  <c r="G629" i="1" s="1"/>
  <c r="J629" i="1" s="1"/>
  <c r="G169" i="1"/>
  <c r="C39" i="10" s="1"/>
  <c r="G140" i="1"/>
  <c r="F140" i="1"/>
  <c r="F193" i="1" s="1"/>
  <c r="G627" i="1" s="1"/>
  <c r="J627" i="1" s="1"/>
  <c r="C36" i="10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G50" i="2"/>
  <c r="G51" i="2" s="1"/>
  <c r="H648" i="1"/>
  <c r="J648" i="1" s="1"/>
  <c r="J652" i="1"/>
  <c r="J642" i="1"/>
  <c r="G571" i="1"/>
  <c r="I434" i="1"/>
  <c r="G434" i="1"/>
  <c r="E104" i="2"/>
  <c r="I663" i="1"/>
  <c r="K552" i="1" l="1"/>
  <c r="L545" i="1"/>
  <c r="H646" i="1"/>
  <c r="G635" i="1"/>
  <c r="J635" i="1" s="1"/>
  <c r="E33" i="13"/>
  <c r="D35" i="13" s="1"/>
  <c r="H667" i="1"/>
  <c r="G664" i="1"/>
  <c r="G667" i="1" s="1"/>
  <c r="C28" i="10"/>
  <c r="D23" i="10" s="1"/>
  <c r="C128" i="2"/>
  <c r="C145" i="2" s="1"/>
  <c r="F664" i="1"/>
  <c r="I660" i="1"/>
  <c r="I664" i="1" s="1"/>
  <c r="I672" i="1" s="1"/>
  <c r="C7" i="10" s="1"/>
  <c r="L257" i="1"/>
  <c r="L271" i="1" s="1"/>
  <c r="G632" i="1" s="1"/>
  <c r="J632" i="1" s="1"/>
  <c r="C104" i="2"/>
  <c r="C51" i="2"/>
  <c r="G631" i="1"/>
  <c r="J631" i="1" s="1"/>
  <c r="D33" i="13"/>
  <c r="D36" i="13" s="1"/>
  <c r="J646" i="1"/>
  <c r="G193" i="1"/>
  <c r="G628" i="1" s="1"/>
  <c r="J628" i="1" s="1"/>
  <c r="G626" i="1"/>
  <c r="J626" i="1" s="1"/>
  <c r="J52" i="1"/>
  <c r="H621" i="1" s="1"/>
  <c r="J621" i="1" s="1"/>
  <c r="C38" i="10"/>
  <c r="G672" i="1" l="1"/>
  <c r="C5" i="10" s="1"/>
  <c r="D25" i="10"/>
  <c r="D19" i="10"/>
  <c r="D13" i="10"/>
  <c r="D18" i="10"/>
  <c r="D22" i="10"/>
  <c r="D17" i="10"/>
  <c r="D27" i="10"/>
  <c r="D15" i="10"/>
  <c r="D21" i="10"/>
  <c r="D24" i="10"/>
  <c r="D20" i="10"/>
  <c r="D11" i="10"/>
  <c r="D12" i="10"/>
  <c r="D10" i="10"/>
  <c r="D26" i="10"/>
  <c r="C30" i="10"/>
  <c r="D16" i="10"/>
  <c r="F672" i="1"/>
  <c r="C4" i="10" s="1"/>
  <c r="F667" i="1"/>
  <c r="I667" i="1"/>
  <c r="H656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<sst xmlns="http://schemas.openxmlformats.org/spreadsheetml/2006/main" count="3958" uniqueCount="913">
  <si>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</si>
  <si>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</si>
  <si>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</si>
  <si>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</si>
  <si>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</si>
  <si>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</si>
  <si>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</si>
  <si>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</si>
  <si>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</si>
  <si>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</si>
  <si>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</si>
  <si>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</si>
  <si>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</si>
  <si>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</si>
  <si>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</si>
  <si>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</si>
  <si>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</si>
  <si>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</si>
  <si>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</si>
  <si>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</si>
  <si>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</si>
  <si>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</si>
  <si>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</si>
  <si>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</si>
  <si>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</si>
  <si>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</si>
  <si>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</si>
  <si>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</si>
  <si>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</si>
  <si>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</si>
  <si>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</si>
  <si>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</si>
  <si>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</si>
  <si>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</si>
  <si>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</si>
  <si>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</si>
  <si>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</si>
  <si>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</si>
  <si>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</si>
  <si>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</si>
  <si>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</si>
  <si>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</si>
  <si>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</si>
  <si>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</si>
  <si>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</si>
  <si>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</si>
  <si>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</si>
  <si>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</si>
  <si>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</si>
  <si>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</si>
  <si>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</si>
  <si>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</si>
  <si>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</si>
  <si>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</si>
  <si>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</si>
  <si>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</si>
  <si>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</si>
  <si>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</si>
  <si>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</si>
  <si>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</si>
  <si>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</si>
  <si>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</si>
  <si>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</si>
  <si>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</si>
  <si>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</si>
  <si>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</si>
  <si>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</si>
  <si>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</si>
  <si>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</si>
  <si>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</si>
  <si>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</si>
  <si>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</si>
  <si>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</si>
  <si>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</si>
  <si>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</si>
  <si>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</si>
  <si>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</si>
  <si>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</si>
  <si>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</si>
  <si>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</si>
  <si>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</si>
  <si>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</si>
  <si>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</si>
  <si>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</si>
  <si>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</si>
  <si>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</si>
  <si>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</si>
  <si>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</si>
  <si>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</si>
  <si>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</si>
  <si>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</si>
  <si>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</si>
  <si>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</si>
  <si>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</si>
  <si>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</si>
  <si>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</si>
  <si>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</si>
  <si>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</si>
  <si>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</si>
  <si>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</si>
  <si>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</si>
  <si>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</si>
  <si>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</si>
  <si>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</si>
  <si>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</si>
  <si>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</si>
  <si>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</si>
  <si>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</si>
  <si>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</si>
  <si>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</si>
  <si>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</si>
  <si>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</si>
  <si>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</si>
  <si>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</si>
  <si>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</si>
  <si>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</si>
  <si>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</si>
  <si>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</si>
  <si>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</si>
  <si>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</si>
  <si>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</si>
  <si>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</si>
  <si>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</si>
  <si>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</si>
  <si>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</si>
  <si>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</si>
  <si>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</si>
  <si>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</si>
  <si>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</si>
  <si>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</si>
  <si>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</si>
  <si>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</si>
  <si>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</si>
  <si>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</si>
  <si>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</si>
  <si>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</si>
  <si>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</si>
  <si>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</si>
  <si>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</si>
  <si>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</si>
  <si>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</si>
  <si>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</si>
  <si>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</si>
  <si>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</si>
  <si>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</si>
  <si>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</si>
  <si>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</si>
  <si>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</si>
  <si>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</si>
  <si>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</si>
  <si>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</si>
  <si>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</si>
  <si>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</si>
  <si>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</si>
  <si>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</si>
  <si>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</si>
  <si>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</si>
  <si>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</si>
  <si>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</si>
  <si>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</si>
  <si>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</si>
  <si>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</si>
  <si>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</si>
  <si>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</si>
  <si>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</si>
  <si>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</si>
  <si>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</si>
  <si>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</si>
  <si>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</si>
  <si>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</si>
  <si>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</si>
  <si>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</si>
  <si>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</si>
  <si>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</si>
  <si>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</si>
  <si>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</si>
  <si>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</si>
  <si>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</si>
  <si>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</si>
  <si>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</si>
  <si>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</si>
  <si>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</si>
  <si>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</si>
  <si>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</si>
  <si>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</si>
  <si>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</si>
  <si>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</si>
  <si>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</si>
  <si>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</si>
  <si>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</si>
  <si>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</si>
  <si>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</si>
  <si>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</si>
  <si>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</si>
  <si>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</si>
  <si>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</si>
  <si>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</si>
  <si>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</si>
  <si>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</si>
  <si>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</si>
  <si>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</si>
  <si>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</si>
  <si>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</si>
  <si>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</si>
  <si>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</si>
  <si>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</si>
  <si>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</si>
  <si>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</si>
  <si>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</si>
  <si>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</si>
  <si>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</si>
  <si>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</si>
  <si>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</si>
  <si>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</si>
  <si>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</si>
  <si>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</si>
  <si>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</si>
  <si>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</si>
  <si>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</si>
  <si>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</si>
  <si>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</si>
  <si>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</si>
  <si>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</si>
  <si>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</si>
  <si>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</si>
  <si>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</si>
  <si>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</si>
  <si>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</si>
  <si>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</si>
  <si>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</si>
  <si>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</si>
  <si>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</si>
  <si>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</si>
  <si>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</si>
  <si>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</si>
  <si>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</si>
  <si>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</si>
  <si>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</si>
  <si>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</si>
  <si>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</si>
  <si>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</si>
  <si>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</si>
  <si>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</si>
  <si>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</si>
  <si>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</si>
  <si>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</si>
  <si>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</si>
  <si>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</si>
  <si>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</si>
  <si>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</si>
  <si>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</si>
  <si>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</si>
  <si>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</si>
  <si>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</si>
  <si>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</si>
  <si>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</si>
  <si>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</si>
  <si>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</si>
  <si>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</si>
  <si>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</si>
  <si>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</si>
  <si>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</si>
  <si>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</si>
  <si>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</si>
  <si>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</si>
  <si>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</si>
  <si>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</si>
  <si>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</si>
  <si>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</si>
  <si>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</si>
  <si>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</si>
  <si>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</si>
  <si>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</si>
  <si>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</si>
  <si>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</si>
  <si>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</si>
  <si>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</si>
  <si>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</si>
  <si>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</si>
  <si>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</si>
  <si>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</si>
  <si>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</si>
  <si>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</si>
  <si>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</si>
  <si>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</si>
  <si>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</si>
  <si>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</si>
  <si>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</si>
  <si>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</si>
  <si>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</si>
  <si>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</si>
  <si>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</si>
  <si>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</si>
  <si>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</si>
  <si>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</si>
  <si>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</si>
  <si>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</si>
  <si>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</si>
  <si>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</si>
  <si>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</si>
  <si>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</si>
  <si>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</si>
  <si>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</si>
  <si>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</si>
  <si>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</si>
  <si>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</si>
  <si>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</si>
  <si>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</si>
  <si>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</si>
  <si>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</si>
  <si>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</si>
  <si>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</si>
  <si>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</si>
  <si>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</si>
  <si>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</si>
  <si>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</si>
  <si>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</si>
  <si>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</si>
  <si>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</si>
  <si>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</si>
  <si>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</si>
  <si>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</si>
  <si>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</si>
  <si>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</si>
  <si>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</si>
  <si>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</si>
  <si>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</si>
  <si>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</si>
  <si>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</si>
  <si>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</si>
  <si>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</si>
  <si>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</si>
  <si>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</si>
  <si>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</si>
  <si>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</si>
  <si>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</si>
  <si>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</si>
  <si>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</si>
  <si>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</si>
  <si>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</si>
  <si>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</si>
  <si>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</si>
  <si>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</si>
  <si>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</si>
  <si>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</si>
  <si>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</si>
  <si>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</si>
  <si>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</si>
  <si>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</si>
  <si>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</si>
  <si>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</si>
  <si>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</si>
  <si>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</si>
  <si>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</si>
  <si>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</si>
  <si>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</si>
  <si>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</si>
  <si>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</si>
  <si>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</si>
  <si>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</si>
  <si>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</si>
  <si>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</si>
  <si>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</si>
  <si>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</si>
  <si>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</si>
  <si>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</si>
  <si>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</si>
  <si>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</si>
  <si>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</si>
  <si>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</si>
  <si>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</si>
  <si>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</si>
  <si>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</si>
  <si>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</si>
  <si>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</si>
  <si>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</si>
  <si>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</si>
  <si>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</si>
  <si>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</si>
  <si>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</si>
  <si>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</si>
  <si>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</si>
  <si>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</si>
  <si>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</si>
  <si>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</si>
  <si>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</si>
  <si>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</si>
  <si>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</si>
  <si>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</si>
  <si>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</si>
  <si>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</si>
  <si>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</si>
  <si>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</si>
  <si>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</si>
  <si>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</si>
  <si>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</si>
  <si>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</si>
  <si>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</si>
  <si>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</si>
  <si>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</si>
  <si>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</si>
  <si>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</si>
  <si>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</si>
  <si>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</si>
  <si>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</si>
  <si>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</si>
  <si>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</si>
  <si>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</si>
  <si>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</si>
  <si>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</si>
  <si>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</si>
  <si>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</si>
  <si>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</si>
  <si>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</si>
  <si>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</si>
  <si>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</si>
  <si>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</si>
  <si>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</si>
  <si>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</si>
  <si>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</si>
  <si>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</si>
  <si>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</si>
  <si>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</si>
  <si>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</si>
  <si>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</si>
  <si>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</si>
  <si>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</si>
  <si>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</si>
  <si>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</si>
  <si>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</si>
  <si>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</si>
  <si>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</si>
  <si>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</si>
  <si>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</si>
  <si>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</si>
  <si>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</si>
  <si>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</si>
  <si>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</si>
  <si>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</si>
  <si>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</si>
  <si>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</si>
  <si>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</si>
  <si>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</si>
  <si>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</si>
  <si>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</si>
  <si>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</si>
  <si>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</si>
  <si>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</si>
  <si>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</si>
  <si>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</si>
  <si>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</si>
  <si>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</si>
  <si>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</si>
  <si>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</si>
  <si>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</si>
  <si>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</si>
  <si>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</si>
  <si>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</si>
  <si>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</si>
  <si>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</si>
  <si>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</si>
  <si>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</si>
  <si>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</si>
  <si>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</si>
  <si>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</si>
  <si>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</si>
  <si>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</si>
  <si>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</si>
  <si>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</si>
  <si>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</si>
  <si>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</si>
  <si>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</si>
  <si>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</si>
  <si>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</si>
  <si>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</si>
  <si>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</si>
  <si>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</si>
  <si>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</si>
  <si>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</si>
  <si>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</si>
  <si>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</si>
  <si>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</si>
  <si>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</si>
  <si>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</si>
  <si>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</si>
  <si>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</si>
  <si>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</si>
  <si>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</si>
  <si>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</si>
  <si>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</si>
  <si>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</si>
  <si>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</si>
  <si>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</si>
  <si>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</si>
  <si>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</si>
  <si>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</si>
  <si>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</si>
  <si>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</si>
  <si>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</si>
  <si>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</si>
  <si>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</si>
  <si>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</si>
  <si>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</si>
  <si>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</si>
  <si>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</si>
  <si>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</si>
  <si>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</si>
  <si>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</si>
  <si>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</si>
  <si>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</si>
  <si>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</si>
  <si>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</si>
  <si>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</si>
  <si>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</si>
  <si>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</si>
  <si>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</si>
  <si>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</si>
  <si>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</si>
  <si>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</si>
  <si>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</si>
  <si>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</si>
  <si>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</si>
  <si>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</si>
  <si>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</si>
  <si>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</si>
  <si>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</si>
  <si>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</si>
  <si>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</si>
  <si>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</si>
  <si>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</si>
  <si>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</si>
  <si>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</si>
  <si>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</si>
  <si>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</si>
  <si>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</si>
  <si>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</si>
  <si>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</si>
  <si>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</si>
  <si>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</si>
  <si>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</si>
  <si>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</si>
  <si>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</si>
  <si>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</si>
  <si>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</si>
  <si>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</si>
  <si>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</si>
  <si>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</si>
  <si>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</si>
  <si>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</si>
  <si>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</si>
  <si>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</si>
  <si>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</si>
  <si>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</si>
  <si>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</si>
  <si>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</si>
  <si>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</si>
  <si>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</si>
  <si>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</si>
  <si>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</si>
  <si>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</si>
  <si>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</si>
  <si>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</si>
  <si>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</si>
  <si>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</si>
  <si>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</si>
  <si>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</si>
  <si>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</si>
  <si>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</si>
  <si>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</si>
  <si>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</si>
  <si>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</si>
  <si>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</si>
  <si>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</si>
  <si>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</si>
  <si>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</si>
  <si>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</si>
  <si>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</si>
  <si>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</si>
  <si>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</si>
  <si>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</si>
  <si>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</si>
  <si>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</si>
  <si>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</si>
  <si>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</si>
  <si>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</si>
  <si>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</si>
  <si>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</si>
  <si>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</si>
  <si>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</si>
  <si>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</si>
  <si>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</si>
  <si>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</si>
  <si>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</si>
  <si>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</si>
  <si>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</si>
  <si>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</si>
  <si>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</si>
  <si>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</si>
  <si>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</si>
  <si>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</si>
  <si>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</si>
  <si>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</si>
  <si>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</si>
  <si>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</si>
  <si>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</si>
  <si>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</si>
  <si>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</si>
  <si>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</si>
  <si>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</si>
  <si>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</si>
  <si>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</si>
  <si>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</si>
  <si>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</si>
  <si>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</si>
  <si>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</si>
  <si>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</si>
  <si>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</si>
  <si>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</si>
  <si>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</si>
  <si>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</si>
  <si>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</si>
  <si>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</si>
  <si>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</si>
  <si>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</si>
  <si>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</si>
  <si>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</si>
  <si>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</si>
  <si>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</si>
  <si>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</si>
  <si>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</si>
  <si>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</si>
  <si>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</si>
  <si>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</si>
  <si>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</si>
  <si>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</si>
  <si>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</si>
  <si>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</si>
  <si>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</si>
  <si>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</si>
  <si>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</si>
  <si>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</si>
  <si>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</si>
  <si>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</si>
  <si>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</si>
  <si>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</si>
  <si>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</si>
  <si>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</si>
  <si>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</si>
  <si>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</si>
  <si>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</si>
  <si>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</si>
  <si>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</si>
  <si>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</si>
  <si>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</si>
  <si>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</si>
  <si>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</si>
  <si>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</si>
  <si>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</si>
  <si>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</si>
  <si>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</si>
  <si>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</si>
  <si>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</si>
  <si>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</si>
  <si>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</si>
  <si>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</si>
  <si>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</si>
  <si>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</si>
  <si>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</si>
  <si>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</si>
  <si>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</si>
  <si>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</si>
  <si>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</si>
  <si>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</si>
  <si>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</si>
  <si>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</si>
  <si>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</si>
  <si>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</si>
  <si>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</si>
  <si>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</si>
  <si>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</si>
  <si>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</si>
  <si>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</si>
  <si>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</si>
  <si>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</si>
  <si>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</si>
  <si>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</si>
  <si>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</si>
  <si>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</si>
  <si>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</si>
  <si>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</si>
  <si>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</si>
  <si>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</si>
  <si>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</si>
  <si>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</si>
  <si>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</si>
  <si>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</si>
  <si>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</si>
  <si>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</si>
  <si>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</si>
  <si>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</si>
  <si>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</si>
  <si>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</si>
  <si>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</si>
  <si>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</si>
  <si>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</si>
  <si>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</si>
  <si>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</si>
  <si>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</si>
  <si>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</si>
  <si>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</si>
  <si>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</si>
  <si>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</si>
  <si>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</si>
  <si>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</si>
  <si>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</si>
  <si>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</si>
  <si>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</si>
  <si>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</si>
  <si>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</si>
  <si>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</si>
  <si>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</si>
  <si>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</si>
  <si>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</si>
  <si>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</si>
  <si>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</si>
  <si>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</si>
  <si>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</si>
  <si>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</si>
  <si>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</si>
  <si>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</si>
  <si>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</si>
  <si>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</si>
  <si>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</si>
  <si>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</si>
  <si>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</si>
  <si>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</si>
  <si>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</si>
  <si>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</si>
  <si>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</si>
  <si>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</si>
  <si>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</si>
  <si>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</si>
  <si>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</si>
  <si>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</si>
  <si>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</si>
  <si>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</si>
  <si>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</si>
  <si>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</si>
  <si>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</si>
  <si>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</si>
  <si>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</si>
  <si>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</si>
  <si>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</si>
  <si>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</si>
  <si>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</si>
  <si>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</si>
  <si>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</si>
  <si>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</si>
  <si>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</si>
  <si>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</si>
  <si>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</si>
  <si>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</si>
  <si>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</si>
  <si>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</si>
  <si>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</si>
  <si>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</si>
  <si>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</si>
  <si>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</si>
  <si>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</si>
  <si>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</si>
  <si>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</si>
  <si>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</si>
  <si>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</si>
  <si>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</si>
  <si>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</si>
  <si>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</si>
  <si>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</si>
  <si>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</si>
  <si>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</si>
  <si>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</si>
  <si>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</si>
  <si>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</si>
  <si>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</si>
  <si>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</si>
  <si>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</si>
  <si>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</si>
  <si>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</si>
  <si>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</si>
  <si>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</si>
  <si>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</si>
  <si>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</si>
  <si>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</si>
  <si>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</si>
  <si>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</si>
  <si>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</si>
  <si>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</si>
  <si>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</si>
  <si>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</si>
  <si>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</si>
  <si>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</si>
  <si>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</si>
  <si>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</si>
  <si>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</si>
  <si>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</si>
  <si>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</si>
  <si>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</si>
  <si>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</si>
  <si>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</si>
  <si>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</si>
  <si>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</si>
  <si>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</si>
  <si>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</si>
  <si>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</si>
  <si>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</si>
  <si>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</si>
  <si>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</si>
  <si>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</si>
  <si>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</si>
  <si>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</si>
  <si>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</si>
  <si>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</si>
  <si>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</si>
  <si>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</si>
  <si>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</si>
  <si>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</si>
  <si>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</si>
  <si>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</si>
  <si>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</si>
  <si>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</si>
  <si>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</si>
  <si>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</si>
  <si>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</si>
  <si>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</si>
  <si>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</si>
  <si>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</si>
  <si>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</si>
  <si>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</si>
  <si>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</si>
  <si>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</si>
  <si>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</si>
  <si>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</si>
  <si>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</si>
  <si>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</si>
  <si>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</si>
  <si>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</si>
  <si>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</si>
  <si>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</si>
  <si>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</si>
  <si>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</si>
  <si>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</si>
  <si>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</si>
  <si>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</si>
  <si>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</si>
  <si>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</si>
  <si>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</si>
  <si>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</si>
  <si>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</si>
  <si>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</si>
  <si>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</si>
  <si>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</si>
  <si>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</si>
  <si>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</si>
  <si>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</si>
  <si>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</si>
  <si>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</si>
  <si>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</si>
  <si>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</si>
  <si>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</si>
  <si>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</si>
  <si>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</si>
  <si>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</si>
  <si>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</si>
  <si>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</si>
  <si>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</si>
  <si>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</si>
  <si>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</si>
  <si>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</si>
  <si>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</si>
  <si>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</si>
  <si>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</si>
  <si>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</si>
  <si>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</si>
  <si>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</si>
  <si>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</si>
  <si>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</si>
  <si>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</si>
  <si>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</si>
  <si>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</si>
  <si>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</si>
  <si>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</si>
  <si>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</si>
  <si>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</si>
  <si>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</si>
  <si>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</si>
  <si>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</si>
  <si>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</si>
  <si>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</si>
  <si>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</si>
  <si>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</si>
  <si>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</si>
  <si>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</si>
  <si>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</si>
  <si>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</si>
  <si>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</si>
  <si>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</si>
  <si>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</si>
  <si>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</si>
  <si>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</si>
  <si>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</si>
  <si>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</si>
  <si>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</si>
  <si>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NEWINGTON SCHOOL DISTRICT</t>
  </si>
  <si>
    <t>Decrease in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</si>
</sst>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110" zoomScaleNormal="110" workbookViewId="0">
      <pane xSplit="5" ySplit="3" topLeftCell="F640" activePane="bottomRight" state="frozen"/>
      <selection pane="topRight" activeCell="F1" sqref="F1"/>
      <selection pane="bottomLeft" activeCell="A4" sqref="A4"/>
      <selection pane="bottomRight" activeCell="I669" sqref="I669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911</v>
      </c>
      <c r="B2" s="21">
        <v>391</v>
      </c>
      <c r="C2" s="21">
        <v>391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85782.85</v>
      </c>
      <c r="G9" s="18">
        <v>50</v>
      </c>
      <c r="H9" s="18"/>
      <c r="I9" s="18">
        <v>23958.02</v>
      </c>
      <c r="J9" s="67">
        <f>SUM(I439)</f>
        <v>60730.17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74.819999999999993</v>
      </c>
      <c r="G12" s="18"/>
      <c r="H12" s="18">
        <v>2951.74</v>
      </c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745.92</v>
      </c>
      <c r="G13" s="18">
        <v>389.18</v>
      </c>
      <c r="H13" s="18"/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731.49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86603.590000000011</v>
      </c>
      <c r="G19" s="41">
        <f>SUM(G9:G18)</f>
        <v>1170.67</v>
      </c>
      <c r="H19" s="41">
        <f>SUM(H9:H18)</f>
        <v>2951.74</v>
      </c>
      <c r="I19" s="41">
        <f>SUM(I9:I18)</f>
        <v>23958.02</v>
      </c>
      <c r="J19" s="41">
        <f>SUM(J9:J18)</f>
        <v>60730.17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2951.74</v>
      </c>
      <c r="G22" s="18">
        <v>74.819999999999993</v>
      </c>
      <c r="H22" s="18"/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4120.6499999999996</v>
      </c>
      <c r="G24" s="18">
        <v>364.36</v>
      </c>
      <c r="H24" s="18"/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/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3745.42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10817.81</v>
      </c>
      <c r="G32" s="41">
        <f>SUM(G22:G31)</f>
        <v>439.18</v>
      </c>
      <c r="H32" s="41">
        <f>SUM(H22:H31)</f>
        <v>0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731.49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/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>
        <v>45816</v>
      </c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>
        <v>6681.38</v>
      </c>
      <c r="G48" s="18"/>
      <c r="H48" s="18">
        <v>2951.74</v>
      </c>
      <c r="I48" s="18">
        <v>23958.02</v>
      </c>
      <c r="J48" s="13">
        <f>SUM(I459)</f>
        <v>60730.17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23288.400000000001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75785.78</v>
      </c>
      <c r="G51" s="41">
        <f>SUM(G35:G50)</f>
        <v>731.49</v>
      </c>
      <c r="H51" s="41">
        <f>SUM(H35:H50)</f>
        <v>2951.74</v>
      </c>
      <c r="I51" s="41">
        <f>SUM(I35:I50)</f>
        <v>23958.02</v>
      </c>
      <c r="J51" s="41">
        <f>SUM(J35:J50)</f>
        <v>60730.17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86603.59</v>
      </c>
      <c r="G52" s="41">
        <f>G51+G32</f>
        <v>1170.67</v>
      </c>
      <c r="H52" s="41">
        <f>H51+H32</f>
        <v>2951.74</v>
      </c>
      <c r="I52" s="41">
        <f>I51+I32</f>
        <v>23958.02</v>
      </c>
      <c r="J52" s="41">
        <f>J51+J32</f>
        <v>60730.17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621432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621432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8872.5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8872.5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/>
      <c r="G96" s="18"/>
      <c r="H96" s="18"/>
      <c r="I96" s="18">
        <v>6.16</v>
      </c>
      <c r="J96" s="18">
        <v>121.46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13115.19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>
        <v>8590</v>
      </c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>
        <v>19283.93</v>
      </c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966.03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9556.0300000000007</v>
      </c>
      <c r="G111" s="41">
        <f>SUM(G96:G110)</f>
        <v>13115.19</v>
      </c>
      <c r="H111" s="41">
        <f>SUM(H96:H110)</f>
        <v>19283.93</v>
      </c>
      <c r="I111" s="41">
        <f>SUM(I96:I110)</f>
        <v>6.16</v>
      </c>
      <c r="J111" s="41">
        <f>SUM(J96:J110)</f>
        <v>121.46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639860.53</v>
      </c>
      <c r="G112" s="41">
        <f>G60+G111</f>
        <v>13115.19</v>
      </c>
      <c r="H112" s="41">
        <f>H60+H79+H94+H111</f>
        <v>19283.93</v>
      </c>
      <c r="I112" s="41">
        <f>I60+I111</f>
        <v>6.16</v>
      </c>
      <c r="J112" s="41">
        <f>J60+J111</f>
        <v>121.46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/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1211198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1211198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/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276.49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0</v>
      </c>
      <c r="G136" s="41">
        <f>SUM(G123:G135)</f>
        <v>276.49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1211198</v>
      </c>
      <c r="G140" s="41">
        <f>G121+SUM(G136:G137)</f>
        <v>276.49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/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/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>
        <v>13079.96</v>
      </c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5128.75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/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15182.04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15182.04</v>
      </c>
      <c r="G162" s="41">
        <f>SUM(G150:G161)</f>
        <v>5128.75</v>
      </c>
      <c r="H162" s="41">
        <f>SUM(H150:H161)</f>
        <v>13079.96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15182.04</v>
      </c>
      <c r="G169" s="41">
        <f>G147+G162+SUM(G163:G168)</f>
        <v>5128.75</v>
      </c>
      <c r="H169" s="41">
        <f>H147+H162+SUM(H163:H168)</f>
        <v>13079.96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>
        <v>13202.04</v>
      </c>
      <c r="H179" s="18">
        <v>2681.11</v>
      </c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13202.04</v>
      </c>
      <c r="H183" s="41">
        <f>SUM(H179:H182)</f>
        <v>2681.11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13202.04</v>
      </c>
      <c r="H192" s="41">
        <f>+H183+SUM(H188:H191)</f>
        <v>2681.11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1866240.57</v>
      </c>
      <c r="G193" s="47">
        <f>G112+G140+G169+G192</f>
        <v>31722.47</v>
      </c>
      <c r="H193" s="47">
        <f>H112+H140+H169+H192</f>
        <v>35045</v>
      </c>
      <c r="I193" s="47">
        <f>I112+I140+I169+I192</f>
        <v>6.16</v>
      </c>
      <c r="J193" s="47">
        <f>J112+J140+J192</f>
        <v>121.46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316415.08</v>
      </c>
      <c r="G197" s="18">
        <v>174105.74</v>
      </c>
      <c r="H197" s="18">
        <v>963.75</v>
      </c>
      <c r="I197" s="18">
        <v>7871.46</v>
      </c>
      <c r="J197" s="18">
        <v>331.77</v>
      </c>
      <c r="K197" s="18"/>
      <c r="L197" s="19">
        <f>SUM(F197:K197)</f>
        <v>499687.80000000005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86095.11</v>
      </c>
      <c r="G198" s="18">
        <v>47373.38</v>
      </c>
      <c r="H198" s="18">
        <v>1485.72</v>
      </c>
      <c r="I198" s="18">
        <v>836.13</v>
      </c>
      <c r="J198" s="18"/>
      <c r="K198" s="18">
        <v>695</v>
      </c>
      <c r="L198" s="19">
        <f>SUM(F198:K198)</f>
        <v>136485.34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5885.44</v>
      </c>
      <c r="G200" s="18">
        <v>3238.43</v>
      </c>
      <c r="H200" s="18">
        <v>2063.6</v>
      </c>
      <c r="I200" s="18">
        <v>447.97</v>
      </c>
      <c r="J200" s="18"/>
      <c r="K200" s="18"/>
      <c r="L200" s="19">
        <f>SUM(F200:K200)</f>
        <v>11635.439999999999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32880.25</v>
      </c>
      <c r="G202" s="18">
        <v>18092.189999999999</v>
      </c>
      <c r="H202" s="18">
        <v>2492</v>
      </c>
      <c r="I202" s="18">
        <v>831.9</v>
      </c>
      <c r="J202" s="18"/>
      <c r="K202" s="18"/>
      <c r="L202" s="19">
        <f t="shared" ref="L202:L208" si="0">SUM(F202:K202)</f>
        <v>54296.340000000004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2286</v>
      </c>
      <c r="G203" s="18">
        <v>5515.38</v>
      </c>
      <c r="H203" s="18">
        <v>18450.02</v>
      </c>
      <c r="I203" s="18">
        <v>1782.33</v>
      </c>
      <c r="J203" s="18">
        <v>868.18</v>
      </c>
      <c r="K203" s="18">
        <v>796</v>
      </c>
      <c r="L203" s="19">
        <f t="shared" si="0"/>
        <v>29697.910000000003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8160</v>
      </c>
      <c r="G204" s="18">
        <v>622.63</v>
      </c>
      <c r="H204" s="18">
        <v>136279.38</v>
      </c>
      <c r="I204" s="18"/>
      <c r="J204" s="18"/>
      <c r="K204" s="18">
        <v>4206.59</v>
      </c>
      <c r="L204" s="19">
        <f t="shared" si="0"/>
        <v>149268.6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97495.62</v>
      </c>
      <c r="G205" s="18">
        <v>54438.96</v>
      </c>
      <c r="H205" s="18">
        <v>3844.91</v>
      </c>
      <c r="I205" s="18">
        <v>1529.88</v>
      </c>
      <c r="J205" s="18"/>
      <c r="K205" s="18">
        <v>740</v>
      </c>
      <c r="L205" s="19">
        <f t="shared" si="0"/>
        <v>158049.37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>
        <v>658.52</v>
      </c>
      <c r="L206" s="19">
        <f t="shared" si="0"/>
        <v>658.52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21643.35</v>
      </c>
      <c r="G207" s="18">
        <v>11909.14</v>
      </c>
      <c r="H207" s="18">
        <v>55340.07</v>
      </c>
      <c r="I207" s="18">
        <v>23366.25</v>
      </c>
      <c r="J207" s="18"/>
      <c r="K207" s="18"/>
      <c r="L207" s="19">
        <f t="shared" si="0"/>
        <v>112258.81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30434.799999999999</v>
      </c>
      <c r="I208" s="18"/>
      <c r="J208" s="18"/>
      <c r="K208" s="18"/>
      <c r="L208" s="19">
        <f t="shared" si="0"/>
        <v>30434.799999999999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>
        <v>147</v>
      </c>
      <c r="H209" s="18">
        <v>3905.18</v>
      </c>
      <c r="I209" s="18"/>
      <c r="J209" s="18"/>
      <c r="K209" s="18"/>
      <c r="L209" s="19">
        <f>SUM(F209:K209)</f>
        <v>4052.18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570860.85</v>
      </c>
      <c r="G211" s="41">
        <f t="shared" si="1"/>
        <v>315442.85000000003</v>
      </c>
      <c r="H211" s="41">
        <f t="shared" si="1"/>
        <v>255259.43</v>
      </c>
      <c r="I211" s="41">
        <f t="shared" si="1"/>
        <v>36665.919999999998</v>
      </c>
      <c r="J211" s="41">
        <f t="shared" si="1"/>
        <v>1199.9499999999998</v>
      </c>
      <c r="K211" s="41">
        <f t="shared" si="1"/>
        <v>7096.1100000000006</v>
      </c>
      <c r="L211" s="41">
        <f t="shared" si="1"/>
        <v>1186525.1099999999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>
        <v>129732.54</v>
      </c>
      <c r="I215" s="18"/>
      <c r="J215" s="18"/>
      <c r="K215" s="18"/>
      <c r="L215" s="19">
        <f>SUM(F215:K215)</f>
        <v>129732.54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>
        <v>1020</v>
      </c>
      <c r="G222" s="18">
        <v>77.83</v>
      </c>
      <c r="H222" s="18">
        <v>17034.919999999998</v>
      </c>
      <c r="I222" s="18"/>
      <c r="J222" s="18"/>
      <c r="K222" s="18">
        <v>525.82000000000005</v>
      </c>
      <c r="L222" s="19">
        <f t="shared" si="2"/>
        <v>18658.57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>
        <v>13181</v>
      </c>
      <c r="I226" s="18"/>
      <c r="J226" s="18"/>
      <c r="K226" s="18"/>
      <c r="L226" s="19">
        <f t="shared" si="2"/>
        <v>13181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1020</v>
      </c>
      <c r="G229" s="41">
        <f>SUM(G215:G228)</f>
        <v>77.83</v>
      </c>
      <c r="H229" s="41">
        <f>SUM(H215:H228)</f>
        <v>159948.46</v>
      </c>
      <c r="I229" s="41">
        <f>SUM(I215:I228)</f>
        <v>0</v>
      </c>
      <c r="J229" s="41">
        <f>SUM(J215:J228)</f>
        <v>0</v>
      </c>
      <c r="K229" s="41">
        <f t="shared" si="3"/>
        <v>525.82000000000005</v>
      </c>
      <c r="L229" s="41">
        <f t="shared" si="3"/>
        <v>161572.10999999999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422203.7</v>
      </c>
      <c r="I233" s="18"/>
      <c r="J233" s="18"/>
      <c r="K233" s="18"/>
      <c r="L233" s="19">
        <f>SUM(F233:K233)</f>
        <v>422203.7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>
        <v>19167.88</v>
      </c>
      <c r="I234" s="18"/>
      <c r="J234" s="18"/>
      <c r="K234" s="18"/>
      <c r="L234" s="19">
        <f>SUM(F234:K234)</f>
        <v>19167.88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1020</v>
      </c>
      <c r="G240" s="18">
        <v>77.83</v>
      </c>
      <c r="H240" s="18">
        <v>17034.919999999998</v>
      </c>
      <c r="I240" s="18"/>
      <c r="J240" s="18"/>
      <c r="K240" s="18">
        <v>525.83000000000004</v>
      </c>
      <c r="L240" s="19">
        <f t="shared" si="4"/>
        <v>18658.580000000002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15476</v>
      </c>
      <c r="I244" s="18"/>
      <c r="J244" s="18"/>
      <c r="K244" s="18"/>
      <c r="L244" s="19">
        <f t="shared" si="4"/>
        <v>15476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1020</v>
      </c>
      <c r="G247" s="41">
        <f t="shared" si="5"/>
        <v>77.83</v>
      </c>
      <c r="H247" s="41">
        <f t="shared" si="5"/>
        <v>473882.5</v>
      </c>
      <c r="I247" s="41">
        <f t="shared" si="5"/>
        <v>0</v>
      </c>
      <c r="J247" s="41">
        <f t="shared" si="5"/>
        <v>0</v>
      </c>
      <c r="K247" s="41">
        <f t="shared" si="5"/>
        <v>525.83000000000004</v>
      </c>
      <c r="L247" s="41">
        <f t="shared" si="5"/>
        <v>475506.16000000003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>
        <v>6790.75</v>
      </c>
      <c r="I255" s="18"/>
      <c r="J255" s="18"/>
      <c r="K255" s="18"/>
      <c r="L255" s="19">
        <f t="shared" si="6"/>
        <v>6790.75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6790.75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6790.75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572900.85</v>
      </c>
      <c r="G257" s="41">
        <f t="shared" si="8"/>
        <v>315598.51000000007</v>
      </c>
      <c r="H257" s="41">
        <f t="shared" si="8"/>
        <v>895881.14</v>
      </c>
      <c r="I257" s="41">
        <f t="shared" si="8"/>
        <v>36665.919999999998</v>
      </c>
      <c r="J257" s="41">
        <f t="shared" si="8"/>
        <v>1199.9499999999998</v>
      </c>
      <c r="K257" s="41">
        <f t="shared" si="8"/>
        <v>8147.76</v>
      </c>
      <c r="L257" s="41">
        <f t="shared" si="8"/>
        <v>1830394.13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>
        <v>13202.04</v>
      </c>
      <c r="L263" s="19">
        <f>SUM(F263:K263)</f>
        <v>13202.04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>
        <v>2681.11</v>
      </c>
      <c r="L264" s="19">
        <f t="shared" ref="L264:L270" si="9">SUM(F264:K264)</f>
        <v>2681.11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15883.150000000001</v>
      </c>
      <c r="L270" s="41">
        <f t="shared" si="9"/>
        <v>15883.150000000001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572900.85</v>
      </c>
      <c r="G271" s="42">
        <f t="shared" si="11"/>
        <v>315598.51000000007</v>
      </c>
      <c r="H271" s="42">
        <f t="shared" si="11"/>
        <v>895881.14</v>
      </c>
      <c r="I271" s="42">
        <f t="shared" si="11"/>
        <v>36665.919999999998</v>
      </c>
      <c r="J271" s="42">
        <f t="shared" si="11"/>
        <v>1199.9499999999998</v>
      </c>
      <c r="K271" s="42">
        <f t="shared" si="11"/>
        <v>24030.910000000003</v>
      </c>
      <c r="L271" s="42">
        <f t="shared" si="11"/>
        <v>1846277.2799999998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/>
      <c r="G276" s="18"/>
      <c r="H276" s="18">
        <v>1030.8</v>
      </c>
      <c r="I276" s="18"/>
      <c r="J276" s="18">
        <v>7345</v>
      </c>
      <c r="K276" s="18"/>
      <c r="L276" s="19">
        <f>SUM(F276:K276)</f>
        <v>8375.7999999999993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>
        <v>8588</v>
      </c>
      <c r="I279" s="18">
        <v>118.3</v>
      </c>
      <c r="J279" s="18"/>
      <c r="K279" s="18"/>
      <c r="L279" s="19">
        <f>SUM(F279:K279)</f>
        <v>8706.2999999999993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v>2447.5</v>
      </c>
      <c r="I282" s="18">
        <v>177.96</v>
      </c>
      <c r="J282" s="18">
        <v>10454.5</v>
      </c>
      <c r="K282" s="18"/>
      <c r="L282" s="19">
        <f t="shared" si="12"/>
        <v>13079.96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>
        <v>440.76</v>
      </c>
      <c r="L285" s="19">
        <f t="shared" si="12"/>
        <v>440.76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>
        <v>200</v>
      </c>
      <c r="J286" s="18"/>
      <c r="K286" s="18"/>
      <c r="L286" s="19">
        <f t="shared" si="12"/>
        <v>200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>
        <v>3214</v>
      </c>
      <c r="I288" s="18"/>
      <c r="J288" s="18"/>
      <c r="K288" s="18"/>
      <c r="L288" s="19">
        <f>SUM(F288:K288)</f>
        <v>3214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0</v>
      </c>
      <c r="G290" s="42">
        <f t="shared" si="13"/>
        <v>0</v>
      </c>
      <c r="H290" s="42">
        <f t="shared" si="13"/>
        <v>15280.3</v>
      </c>
      <c r="I290" s="42">
        <f t="shared" si="13"/>
        <v>496.26</v>
      </c>
      <c r="J290" s="42">
        <f t="shared" si="13"/>
        <v>17799.5</v>
      </c>
      <c r="K290" s="42">
        <f t="shared" si="13"/>
        <v>440.76</v>
      </c>
      <c r="L290" s="41">
        <f t="shared" si="13"/>
        <v>34016.819999999992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0</v>
      </c>
      <c r="G338" s="41">
        <f t="shared" si="20"/>
        <v>0</v>
      </c>
      <c r="H338" s="41">
        <f t="shared" si="20"/>
        <v>15280.3</v>
      </c>
      <c r="I338" s="41">
        <f t="shared" si="20"/>
        <v>496.26</v>
      </c>
      <c r="J338" s="41">
        <f t="shared" si="20"/>
        <v>17799.5</v>
      </c>
      <c r="K338" s="41">
        <f t="shared" si="20"/>
        <v>440.76</v>
      </c>
      <c r="L338" s="41">
        <f t="shared" si="20"/>
        <v>34016.819999999992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0</v>
      </c>
      <c r="G352" s="41">
        <f>G338</f>
        <v>0</v>
      </c>
      <c r="H352" s="41">
        <f>H338</f>
        <v>15280.3</v>
      </c>
      <c r="I352" s="41">
        <f>I338</f>
        <v>496.26</v>
      </c>
      <c r="J352" s="41">
        <f>J338</f>
        <v>17799.5</v>
      </c>
      <c r="K352" s="47">
        <f>K338+K351</f>
        <v>440.76</v>
      </c>
      <c r="L352" s="41">
        <f>L338+L351</f>
        <v>34016.819999999992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7598.09</v>
      </c>
      <c r="G358" s="18">
        <v>4180.8100000000004</v>
      </c>
      <c r="H358" s="18">
        <v>865.39</v>
      </c>
      <c r="I358" s="18">
        <v>19078.18</v>
      </c>
      <c r="J358" s="18"/>
      <c r="K358" s="18"/>
      <c r="L358" s="13">
        <f>SUM(F358:K358)</f>
        <v>31722.47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7598.09</v>
      </c>
      <c r="G362" s="47">
        <f t="shared" si="22"/>
        <v>4180.8100000000004</v>
      </c>
      <c r="H362" s="47">
        <f t="shared" si="22"/>
        <v>865.39</v>
      </c>
      <c r="I362" s="47">
        <f t="shared" si="22"/>
        <v>19078.18</v>
      </c>
      <c r="J362" s="47">
        <f t="shared" si="22"/>
        <v>0</v>
      </c>
      <c r="K362" s="47">
        <f t="shared" si="22"/>
        <v>0</v>
      </c>
      <c r="L362" s="47">
        <f t="shared" si="22"/>
        <v>31722.47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17164.12</v>
      </c>
      <c r="G367" s="18"/>
      <c r="H367" s="18"/>
      <c r="I367" s="56">
        <f>SUM(F367:H367)</f>
        <v>17164.12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1914.06</v>
      </c>
      <c r="G368" s="63"/>
      <c r="H368" s="63"/>
      <c r="I368" s="56">
        <f>SUM(F368:H368)</f>
        <v>1914.06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19078.18</v>
      </c>
      <c r="G369" s="47">
        <f>SUM(G367:G368)</f>
        <v>0</v>
      </c>
      <c r="H369" s="47">
        <f>SUM(H367:H368)</f>
        <v>0</v>
      </c>
      <c r="I369" s="47">
        <f>SUM(I367:I368)</f>
        <v>19078.18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>
        <v>121.46</v>
      </c>
      <c r="I396" s="18"/>
      <c r="J396" s="24" t="s">
        <v>289</v>
      </c>
      <c r="K396" s="24" t="s">
        <v>289</v>
      </c>
      <c r="L396" s="56">
        <f t="shared" si="26"/>
        <v>121.46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121.46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121.46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121.46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121.46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>
        <v>40000</v>
      </c>
      <c r="I422" s="18"/>
      <c r="J422" s="18"/>
      <c r="K422" s="18"/>
      <c r="L422" s="56">
        <f t="shared" si="29"/>
        <v>40000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40000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40000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40000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40000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>
        <v>60730.17</v>
      </c>
      <c r="H439" s="18"/>
      <c r="I439" s="56">
        <f t="shared" ref="I439:I445" si="33">SUM(F439:H439)</f>
        <v>60730.17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60730.17</v>
      </c>
      <c r="H446" s="13">
        <f>SUM(H439:H445)</f>
        <v>0</v>
      </c>
      <c r="I446" s="13">
        <f>SUM(I439:I445)</f>
        <v>60730.17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60730.17</v>
      </c>
      <c r="H459" s="18"/>
      <c r="I459" s="56">
        <f t="shared" si="34"/>
        <v>60730.17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60730.17</v>
      </c>
      <c r="H460" s="83">
        <f>SUM(H454:H459)</f>
        <v>0</v>
      </c>
      <c r="I460" s="83">
        <f>SUM(I454:I459)</f>
        <v>60730.17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60730.17</v>
      </c>
      <c r="H461" s="42">
        <f>H452+H460</f>
        <v>0</v>
      </c>
      <c r="I461" s="42">
        <f>I452+I460</f>
        <v>60730.17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55822.49</v>
      </c>
      <c r="G465" s="18">
        <v>872.06</v>
      </c>
      <c r="H465" s="18">
        <v>1923.56</v>
      </c>
      <c r="I465" s="18">
        <v>23951.86</v>
      </c>
      <c r="J465" s="18">
        <v>100608.71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1866240.57</v>
      </c>
      <c r="G468" s="18">
        <v>31722.47</v>
      </c>
      <c r="H468" s="18">
        <v>35045</v>
      </c>
      <c r="I468" s="18">
        <v>6.16</v>
      </c>
      <c r="J468" s="18">
        <v>121.46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1866240.57</v>
      </c>
      <c r="G470" s="53">
        <f>SUM(G468:G469)</f>
        <v>31722.47</v>
      </c>
      <c r="H470" s="53">
        <f>SUM(H468:H469)</f>
        <v>35045</v>
      </c>
      <c r="I470" s="53">
        <f>SUM(I468:I469)</f>
        <v>6.16</v>
      </c>
      <c r="J470" s="53">
        <f>SUM(J468:J469)</f>
        <v>121.46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1846277.28</v>
      </c>
      <c r="G472" s="18">
        <v>31722.47</v>
      </c>
      <c r="H472" s="18">
        <v>34016.82</v>
      </c>
      <c r="I472" s="18">
        <v>0</v>
      </c>
      <c r="J472" s="18">
        <v>40000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>
        <v>140.57</v>
      </c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1846277.28</v>
      </c>
      <c r="G474" s="53">
        <f>SUM(G472:G473)</f>
        <v>31863.040000000001</v>
      </c>
      <c r="H474" s="53">
        <f>SUM(H472:H473)</f>
        <v>34016.82</v>
      </c>
      <c r="I474" s="53">
        <f>SUM(I472:I473)</f>
        <v>0</v>
      </c>
      <c r="J474" s="53">
        <f>SUM(J472:J473)</f>
        <v>40000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75785.780000000028</v>
      </c>
      <c r="G476" s="53">
        <f>(G465+G470)- G474</f>
        <v>731.4900000000016</v>
      </c>
      <c r="H476" s="53">
        <f>(H465+H470)- H474</f>
        <v>2951.739999999998</v>
      </c>
      <c r="I476" s="53">
        <f>(I465+I470)- I474</f>
        <v>23958.02</v>
      </c>
      <c r="J476" s="53">
        <f>(J465+J470)- J474</f>
        <v>60730.170000000013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 t="s">
        <v>912</v>
      </c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/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/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/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/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/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/>
      <c r="G497" s="18"/>
      <c r="H497" s="18"/>
      <c r="I497" s="18"/>
      <c r="J497" s="18"/>
      <c r="K497" s="53">
        <f t="shared" si="35"/>
        <v>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/>
      <c r="G498" s="204"/>
      <c r="H498" s="204"/>
      <c r="I498" s="204"/>
      <c r="J498" s="204"/>
      <c r="K498" s="205">
        <f t="shared" si="35"/>
        <v>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/>
      <c r="G499" s="18"/>
      <c r="H499" s="18"/>
      <c r="I499" s="18"/>
      <c r="J499" s="18"/>
      <c r="K499" s="53">
        <f t="shared" si="35"/>
        <v>0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0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0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/>
      <c r="G501" s="204"/>
      <c r="H501" s="204"/>
      <c r="I501" s="204"/>
      <c r="J501" s="204"/>
      <c r="K501" s="205">
        <f t="shared" si="35"/>
        <v>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/>
      <c r="G502" s="18"/>
      <c r="H502" s="18"/>
      <c r="I502" s="18"/>
      <c r="J502" s="18"/>
      <c r="K502" s="53">
        <f t="shared" si="35"/>
        <v>0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66828.34</v>
      </c>
      <c r="G521" s="18">
        <v>33889.74</v>
      </c>
      <c r="H521" s="18">
        <v>2062.7199999999998</v>
      </c>
      <c r="I521" s="18">
        <v>401.13</v>
      </c>
      <c r="J521" s="18"/>
      <c r="K521" s="18"/>
      <c r="L521" s="88">
        <f>SUM(F521:K521)</f>
        <v>103181.93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>
        <v>10295.25</v>
      </c>
      <c r="G522" s="18">
        <v>7106.01</v>
      </c>
      <c r="H522" s="18"/>
      <c r="I522" s="18"/>
      <c r="J522" s="18"/>
      <c r="K522" s="18"/>
      <c r="L522" s="88">
        <f>SUM(F522:K522)</f>
        <v>17401.260000000002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10295.25</v>
      </c>
      <c r="G523" s="18">
        <v>7106.01</v>
      </c>
      <c r="H523" s="18">
        <v>19167.88</v>
      </c>
      <c r="I523" s="18"/>
      <c r="J523" s="18"/>
      <c r="K523" s="18"/>
      <c r="L523" s="88">
        <f>SUM(F523:K523)</f>
        <v>36569.14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87418.84</v>
      </c>
      <c r="G524" s="108">
        <f t="shared" ref="G524:L524" si="36">SUM(G521:G523)</f>
        <v>48101.760000000002</v>
      </c>
      <c r="H524" s="108">
        <f t="shared" si="36"/>
        <v>21230.600000000002</v>
      </c>
      <c r="I524" s="108">
        <f t="shared" si="36"/>
        <v>401.13</v>
      </c>
      <c r="J524" s="108">
        <f t="shared" si="36"/>
        <v>0</v>
      </c>
      <c r="K524" s="108">
        <f t="shared" si="36"/>
        <v>0</v>
      </c>
      <c r="L524" s="89">
        <f t="shared" si="36"/>
        <v>157152.33000000002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19969</v>
      </c>
      <c r="G526" s="18">
        <v>10987.84</v>
      </c>
      <c r="H526" s="18"/>
      <c r="I526" s="18">
        <v>765</v>
      </c>
      <c r="J526" s="18"/>
      <c r="K526" s="18"/>
      <c r="L526" s="88">
        <f>SUM(F526:K526)</f>
        <v>31721.84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19969</v>
      </c>
      <c r="G529" s="89">
        <f t="shared" ref="G529:L529" si="37">SUM(G526:G528)</f>
        <v>10987.84</v>
      </c>
      <c r="H529" s="89">
        <f t="shared" si="37"/>
        <v>0</v>
      </c>
      <c r="I529" s="89">
        <f t="shared" si="37"/>
        <v>765</v>
      </c>
      <c r="J529" s="89">
        <f t="shared" si="37"/>
        <v>0</v>
      </c>
      <c r="K529" s="89">
        <f t="shared" si="37"/>
        <v>0</v>
      </c>
      <c r="L529" s="89">
        <f t="shared" si="37"/>
        <v>31721.84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8042.93</v>
      </c>
      <c r="G531" s="18">
        <v>3674.52</v>
      </c>
      <c r="H531" s="18">
        <v>978.05</v>
      </c>
      <c r="I531" s="18">
        <v>280.99</v>
      </c>
      <c r="J531" s="18">
        <v>322.02</v>
      </c>
      <c r="K531" s="18">
        <v>104.61</v>
      </c>
      <c r="L531" s="88">
        <f>SUM(F531:K531)</f>
        <v>13403.12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>
        <v>574.5</v>
      </c>
      <c r="G532" s="18">
        <v>262.47000000000003</v>
      </c>
      <c r="H532" s="18">
        <v>69.86</v>
      </c>
      <c r="I532" s="18">
        <v>20.07</v>
      </c>
      <c r="J532" s="18">
        <v>23</v>
      </c>
      <c r="K532" s="18">
        <v>7.47</v>
      </c>
      <c r="L532" s="88">
        <f>SUM(F532:K532)</f>
        <v>957.37000000000012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2872.48</v>
      </c>
      <c r="G533" s="18">
        <v>1312.33</v>
      </c>
      <c r="H533" s="18">
        <v>349.3</v>
      </c>
      <c r="I533" s="18">
        <v>100.35</v>
      </c>
      <c r="J533" s="18">
        <v>115.01</v>
      </c>
      <c r="K533" s="18">
        <v>37.36</v>
      </c>
      <c r="L533" s="88">
        <f>SUM(F533:K533)</f>
        <v>4786.83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11489.91</v>
      </c>
      <c r="G534" s="89">
        <f t="shared" ref="G534:L534" si="38">SUM(G531:G533)</f>
        <v>5249.32</v>
      </c>
      <c r="H534" s="89">
        <f t="shared" si="38"/>
        <v>1397.2099999999998</v>
      </c>
      <c r="I534" s="89">
        <f t="shared" si="38"/>
        <v>401.40999999999997</v>
      </c>
      <c r="J534" s="89">
        <f t="shared" si="38"/>
        <v>460.03</v>
      </c>
      <c r="K534" s="89">
        <f t="shared" si="38"/>
        <v>149.44</v>
      </c>
      <c r="L534" s="89">
        <f t="shared" si="38"/>
        <v>19147.32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2009.7</v>
      </c>
      <c r="I541" s="18"/>
      <c r="J541" s="18"/>
      <c r="K541" s="18"/>
      <c r="L541" s="88">
        <f>SUM(F541:K541)</f>
        <v>2009.7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2295</v>
      </c>
      <c r="I543" s="18"/>
      <c r="J543" s="18"/>
      <c r="K543" s="18"/>
      <c r="L543" s="88">
        <f>SUM(F543:K543)</f>
        <v>2295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4304.7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4304.7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118877.75</v>
      </c>
      <c r="G545" s="89">
        <f t="shared" ref="G545:L545" si="41">G524+G529+G534+G539+G544</f>
        <v>64338.920000000006</v>
      </c>
      <c r="H545" s="89">
        <f t="shared" si="41"/>
        <v>26932.510000000002</v>
      </c>
      <c r="I545" s="89">
        <f t="shared" si="41"/>
        <v>1567.54</v>
      </c>
      <c r="J545" s="89">
        <f t="shared" si="41"/>
        <v>460.03</v>
      </c>
      <c r="K545" s="89">
        <f t="shared" si="41"/>
        <v>149.44</v>
      </c>
      <c r="L545" s="89">
        <f t="shared" si="41"/>
        <v>212326.19000000003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103181.93</v>
      </c>
      <c r="G549" s="87">
        <f>L526</f>
        <v>31721.84</v>
      </c>
      <c r="H549" s="87">
        <f>L531</f>
        <v>13403.12</v>
      </c>
      <c r="I549" s="87">
        <f>L536</f>
        <v>0</v>
      </c>
      <c r="J549" s="87">
        <f>L541</f>
        <v>2009.7</v>
      </c>
      <c r="K549" s="87">
        <f>SUM(F549:J549)</f>
        <v>150316.59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17401.260000000002</v>
      </c>
      <c r="G550" s="87">
        <f>L527</f>
        <v>0</v>
      </c>
      <c r="H550" s="87">
        <f>L532</f>
        <v>957.37000000000012</v>
      </c>
      <c r="I550" s="87">
        <f>L537</f>
        <v>0</v>
      </c>
      <c r="J550" s="87">
        <f>L542</f>
        <v>0</v>
      </c>
      <c r="K550" s="87">
        <f>SUM(F550:J550)</f>
        <v>18358.63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36569.14</v>
      </c>
      <c r="G551" s="87">
        <f>L528</f>
        <v>0</v>
      </c>
      <c r="H551" s="87">
        <f>L533</f>
        <v>4786.83</v>
      </c>
      <c r="I551" s="87">
        <f>L538</f>
        <v>0</v>
      </c>
      <c r="J551" s="87">
        <f>L543</f>
        <v>2295</v>
      </c>
      <c r="K551" s="87">
        <f>SUM(F551:J551)</f>
        <v>43650.97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157152.33000000002</v>
      </c>
      <c r="G552" s="89">
        <f t="shared" si="42"/>
        <v>31721.84</v>
      </c>
      <c r="H552" s="89">
        <f t="shared" si="42"/>
        <v>19147.32</v>
      </c>
      <c r="I552" s="89">
        <f t="shared" si="42"/>
        <v>0</v>
      </c>
      <c r="J552" s="89">
        <f t="shared" si="42"/>
        <v>4304.7</v>
      </c>
      <c r="K552" s="89">
        <f t="shared" si="42"/>
        <v>212326.19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>
        <v>435</v>
      </c>
      <c r="J567" s="18"/>
      <c r="K567" s="18">
        <v>695</v>
      </c>
      <c r="L567" s="88">
        <f>SUM(F567:K567)</f>
        <v>1130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435</v>
      </c>
      <c r="J570" s="193">
        <f t="shared" si="45"/>
        <v>0</v>
      </c>
      <c r="K570" s="193">
        <f t="shared" si="45"/>
        <v>695</v>
      </c>
      <c r="L570" s="193">
        <f t="shared" si="45"/>
        <v>1130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435</v>
      </c>
      <c r="J571" s="89">
        <f t="shared" si="46"/>
        <v>0</v>
      </c>
      <c r="K571" s="89">
        <f t="shared" si="46"/>
        <v>695</v>
      </c>
      <c r="L571" s="89">
        <f t="shared" si="46"/>
        <v>1130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>
        <v>129732.54</v>
      </c>
      <c r="H575" s="18">
        <v>422203.7</v>
      </c>
      <c r="I575" s="87">
        <f>SUM(F575:H575)</f>
        <v>551936.24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>
        <v>170.7</v>
      </c>
      <c r="G579" s="18"/>
      <c r="H579" s="18">
        <v>5258.38</v>
      </c>
      <c r="I579" s="87">
        <f t="shared" si="47"/>
        <v>5429.08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/>
      <c r="G582" s="18"/>
      <c r="H582" s="18">
        <v>13909.5</v>
      </c>
      <c r="I582" s="87">
        <f t="shared" si="47"/>
        <v>13909.5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26362</v>
      </c>
      <c r="I591" s="18">
        <v>13181</v>
      </c>
      <c r="J591" s="18">
        <v>13181</v>
      </c>
      <c r="K591" s="104">
        <f t="shared" ref="K591:K597" si="48">SUM(H591:J591)</f>
        <v>52724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2009.7</v>
      </c>
      <c r="I592" s="18"/>
      <c r="J592" s="18">
        <v>2295</v>
      </c>
      <c r="K592" s="104">
        <f t="shared" si="48"/>
        <v>4304.7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2063.1</v>
      </c>
      <c r="I595" s="18"/>
      <c r="J595" s="18"/>
      <c r="K595" s="104">
        <f t="shared" si="48"/>
        <v>2063.1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30434.799999999999</v>
      </c>
      <c r="I598" s="108">
        <f>SUM(I591:I597)</f>
        <v>13181</v>
      </c>
      <c r="J598" s="108">
        <f>SUM(J591:J597)</f>
        <v>15476</v>
      </c>
      <c r="K598" s="108">
        <f>SUM(K591:K597)</f>
        <v>59091.799999999996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18999.45</v>
      </c>
      <c r="I604" s="18"/>
      <c r="J604" s="18"/>
      <c r="K604" s="104">
        <f>SUM(H604:J604)</f>
        <v>18999.45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18999.45</v>
      </c>
      <c r="I605" s="108">
        <f>SUM(I602:I604)</f>
        <v>0</v>
      </c>
      <c r="J605" s="108">
        <f>SUM(J602:J604)</f>
        <v>0</v>
      </c>
      <c r="K605" s="108">
        <f>SUM(K602:K604)</f>
        <v>18999.45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1323.74</v>
      </c>
      <c r="G611" s="18">
        <v>728.64</v>
      </c>
      <c r="H611" s="18">
        <v>577</v>
      </c>
      <c r="I611" s="18"/>
      <c r="J611" s="18"/>
      <c r="K611" s="18"/>
      <c r="L611" s="88">
        <f>SUM(F611:K611)</f>
        <v>2629.38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1323.74</v>
      </c>
      <c r="G614" s="108">
        <f t="shared" si="49"/>
        <v>728.64</v>
      </c>
      <c r="H614" s="108">
        <f t="shared" si="49"/>
        <v>577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2629.38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86603.590000000011</v>
      </c>
      <c r="H617" s="109">
        <f>SUM(F52)</f>
        <v>86603.59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1170.67</v>
      </c>
      <c r="H618" s="109">
        <f>SUM(G52)</f>
        <v>1170.67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2951.74</v>
      </c>
      <c r="H619" s="109">
        <f>SUM(H52)</f>
        <v>2951.74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23958.02</v>
      </c>
      <c r="H620" s="109">
        <f>SUM(I52)</f>
        <v>23958.02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60730.17</v>
      </c>
      <c r="H621" s="109">
        <f>SUM(J52)</f>
        <v>60730.17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75785.78</v>
      </c>
      <c r="H622" s="109">
        <f>F476</f>
        <v>75785.780000000028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731.49</v>
      </c>
      <c r="H623" s="109">
        <f>G476</f>
        <v>731.4900000000016</v>
      </c>
      <c r="I623" s="121" t="s">
        <v>102</v>
      </c>
      <c r="J623" s="109">
        <f t="shared" si="50"/>
        <v>-1.5916157281026244E-12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2951.74</v>
      </c>
      <c r="H624" s="109">
        <f>H476</f>
        <v>2951.739999999998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23958.02</v>
      </c>
      <c r="H625" s="109">
        <f>I476</f>
        <v>23958.02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60730.17</v>
      </c>
      <c r="H626" s="109">
        <f>J476</f>
        <v>60730.170000000013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1866240.57</v>
      </c>
      <c r="H627" s="104">
        <f>SUM(F468)</f>
        <v>1866240.57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31722.47</v>
      </c>
      <c r="H628" s="104">
        <f>SUM(G468)</f>
        <v>31722.47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35045</v>
      </c>
      <c r="H629" s="104">
        <f>SUM(H468)</f>
        <v>35045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6.16</v>
      </c>
      <c r="H630" s="104">
        <f>SUM(I468)</f>
        <v>6.16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121.46</v>
      </c>
      <c r="H631" s="104">
        <f>SUM(J468)</f>
        <v>121.46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1846277.2799999998</v>
      </c>
      <c r="H632" s="104">
        <f>SUM(F472)</f>
        <v>1846277.28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34016.819999999992</v>
      </c>
      <c r="H633" s="104">
        <f>SUM(H472)</f>
        <v>34016.82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19078.18</v>
      </c>
      <c r="H634" s="104">
        <f>I369</f>
        <v>19078.18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31722.47</v>
      </c>
      <c r="H635" s="104">
        <f>SUM(G472)</f>
        <v>31722.47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121.46</v>
      </c>
      <c r="H637" s="164">
        <f>SUM(J468)</f>
        <v>121.46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40000</v>
      </c>
      <c r="H638" s="164">
        <f>SUM(J472)</f>
        <v>40000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60730.17</v>
      </c>
      <c r="H640" s="104">
        <f>SUM(G461)</f>
        <v>60730.17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60730.17</v>
      </c>
      <c r="H642" s="104">
        <f>SUM(I461)</f>
        <v>60730.17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121.46</v>
      </c>
      <c r="H644" s="104">
        <f>H408</f>
        <v>121.46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121.46</v>
      </c>
      <c r="H646" s="104">
        <f>L408</f>
        <v>121.46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59091.799999999996</v>
      </c>
      <c r="H647" s="104">
        <f>L208+L226+L244</f>
        <v>59091.8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18999.45</v>
      </c>
      <c r="H648" s="104">
        <f>(J257+J338)-(J255+J336)</f>
        <v>18999.45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30434.799999999999</v>
      </c>
      <c r="H649" s="104">
        <f>H598</f>
        <v>30434.799999999999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13181</v>
      </c>
      <c r="H650" s="104">
        <f>I598</f>
        <v>13181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15476</v>
      </c>
      <c r="H651" s="104">
        <f>J598</f>
        <v>15476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13202.04</v>
      </c>
      <c r="H652" s="104">
        <f>K263+K345</f>
        <v>13202.04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2681.11</v>
      </c>
      <c r="H653" s="104">
        <f>K264</f>
        <v>2681.11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1252264.3999999999</v>
      </c>
      <c r="G660" s="19">
        <f>(L229+L309+L359)</f>
        <v>161572.10999999999</v>
      </c>
      <c r="H660" s="19">
        <f>(L247+L328+L360)</f>
        <v>475506.16000000003</v>
      </c>
      <c r="I660" s="19">
        <f>SUM(F660:H660)</f>
        <v>1889342.67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13115.19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13115.19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30434.799999999999</v>
      </c>
      <c r="G662" s="19">
        <f>(L226+L306)-(J226+J306)</f>
        <v>13181</v>
      </c>
      <c r="H662" s="19">
        <f>(L244+L325)-(J244+J325)</f>
        <v>15476</v>
      </c>
      <c r="I662" s="19">
        <f>SUM(F662:H662)</f>
        <v>59091.8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21799.530000000002</v>
      </c>
      <c r="G663" s="199">
        <f>SUM(G575:G587)+SUM(I602:I604)+L612</f>
        <v>129732.54</v>
      </c>
      <c r="H663" s="199">
        <f>SUM(H575:H587)+SUM(J602:J604)+L613</f>
        <v>441371.58</v>
      </c>
      <c r="I663" s="19">
        <f>SUM(F663:H663)</f>
        <v>592903.65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1186914.8799999999</v>
      </c>
      <c r="G664" s="19">
        <f>G660-SUM(G661:G663)</f>
        <v>18658.570000000007</v>
      </c>
      <c r="H664" s="19">
        <f>H660-SUM(H661:H663)</f>
        <v>18658.580000000016</v>
      </c>
      <c r="I664" s="19">
        <f>I660-SUM(I661:I663)</f>
        <v>1224232.0299999998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37.799999999999997</v>
      </c>
      <c r="G665" s="248"/>
      <c r="H665" s="248"/>
      <c r="I665" s="19">
        <f>SUM(F665:H665)</f>
        <v>37.799999999999997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31399.86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32387.09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>
        <v>-18658.57</v>
      </c>
      <c r="H669" s="18">
        <v>-18658.580000000002</v>
      </c>
      <c r="I669" s="19">
        <f>SUM(F669:H669)</f>
        <v>-37317.15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31399.86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31399.86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D23" sqref="D22:D23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NEWINGTON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316415.08</v>
      </c>
      <c r="C9" s="229">
        <f>'DOE25'!G197+'DOE25'!G215+'DOE25'!G233+'DOE25'!G276+'DOE25'!G295+'DOE25'!G314</f>
        <v>174105.74</v>
      </c>
    </row>
    <row r="10" spans="1:3" x14ac:dyDescent="0.2">
      <c r="A10" t="s">
        <v>779</v>
      </c>
      <c r="B10" s="240">
        <v>311182.71999999997</v>
      </c>
      <c r="C10" s="240">
        <v>171232.99</v>
      </c>
    </row>
    <row r="11" spans="1:3" x14ac:dyDescent="0.2">
      <c r="A11" t="s">
        <v>780</v>
      </c>
      <c r="B11" s="240"/>
      <c r="C11" s="240" t="s">
        <v>287</v>
      </c>
    </row>
    <row r="12" spans="1:3" x14ac:dyDescent="0.2">
      <c r="A12" t="s">
        <v>781</v>
      </c>
      <c r="B12" s="240">
        <v>5232.3599999999997</v>
      </c>
      <c r="C12" s="240">
        <v>2872.75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316415.07999999996</v>
      </c>
      <c r="C13" s="231">
        <f>SUM(C10:C12)</f>
        <v>174105.74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86095.11</v>
      </c>
      <c r="C18" s="229">
        <f>'DOE25'!G198+'DOE25'!G216+'DOE25'!G234+'DOE25'!G277+'DOE25'!G296+'DOE25'!G315</f>
        <v>47373.38</v>
      </c>
    </row>
    <row r="19" spans="1:3" x14ac:dyDescent="0.2">
      <c r="A19" t="s">
        <v>779</v>
      </c>
      <c r="B19" s="240">
        <v>68635</v>
      </c>
      <c r="C19" s="240">
        <v>37647.629999999997</v>
      </c>
    </row>
    <row r="20" spans="1:3" x14ac:dyDescent="0.2">
      <c r="A20" t="s">
        <v>780</v>
      </c>
      <c r="B20" s="240">
        <v>17460.11</v>
      </c>
      <c r="C20" s="240">
        <v>9725.75</v>
      </c>
    </row>
    <row r="21" spans="1:3" x14ac:dyDescent="0.2">
      <c r="A21" t="s">
        <v>781</v>
      </c>
      <c r="B21" s="240"/>
      <c r="C21" s="240"/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86095.11</v>
      </c>
      <c r="C22" s="231">
        <f>SUM(C19:C21)</f>
        <v>47373.38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 t="s">
        <v>287</v>
      </c>
      <c r="C29" s="240"/>
    </row>
    <row r="30" spans="1:3" x14ac:dyDescent="0.2">
      <c r="A30" t="s">
        <v>781</v>
      </c>
      <c r="B30" s="240" t="s">
        <v>287</v>
      </c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5885.44</v>
      </c>
      <c r="C36" s="235">
        <f>'DOE25'!G200+'DOE25'!G218+'DOE25'!G236+'DOE25'!G279+'DOE25'!G298+'DOE25'!G317</f>
        <v>3238.43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>
        <v>5645.44</v>
      </c>
      <c r="C38" s="240">
        <v>3214.18</v>
      </c>
    </row>
    <row r="39" spans="1:3" x14ac:dyDescent="0.2">
      <c r="A39" t="s">
        <v>781</v>
      </c>
      <c r="B39" s="240">
        <v>240</v>
      </c>
      <c r="C39" s="240">
        <v>24.25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5885.44</v>
      </c>
      <c r="C40" s="231">
        <f>SUM(C37:C39)</f>
        <v>3238.43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NEWINGTON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1218912.7</v>
      </c>
      <c r="D5" s="20">
        <f>SUM('DOE25'!L197:L200)+SUM('DOE25'!L215:L218)+SUM('DOE25'!L233:L236)-F5-G5</f>
        <v>1217885.93</v>
      </c>
      <c r="E5" s="243"/>
      <c r="F5" s="255">
        <f>SUM('DOE25'!J197:J200)+SUM('DOE25'!J215:J218)+SUM('DOE25'!J233:J236)</f>
        <v>331.77</v>
      </c>
      <c r="G5" s="53">
        <f>SUM('DOE25'!K197:K200)+SUM('DOE25'!K215:K218)+SUM('DOE25'!K233:K236)</f>
        <v>695</v>
      </c>
      <c r="H5" s="259"/>
    </row>
    <row r="6" spans="1:9" x14ac:dyDescent="0.2">
      <c r="A6" s="32">
        <v>2100</v>
      </c>
      <c r="B6" t="s">
        <v>801</v>
      </c>
      <c r="C6" s="245">
        <f t="shared" si="0"/>
        <v>54296.340000000004</v>
      </c>
      <c r="D6" s="20">
        <f>'DOE25'!L202+'DOE25'!L220+'DOE25'!L238-F6-G6</f>
        <v>54296.340000000004</v>
      </c>
      <c r="E6" s="243"/>
      <c r="F6" s="255">
        <f>'DOE25'!J202+'DOE25'!J220+'DOE25'!J238</f>
        <v>0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29697.910000000003</v>
      </c>
      <c r="D7" s="20">
        <f>'DOE25'!L203+'DOE25'!L221+'DOE25'!L239-F7-G7</f>
        <v>28033.730000000003</v>
      </c>
      <c r="E7" s="243"/>
      <c r="F7" s="255">
        <f>'DOE25'!J203+'DOE25'!J221+'DOE25'!J239</f>
        <v>868.18</v>
      </c>
      <c r="G7" s="53">
        <f>'DOE25'!K203+'DOE25'!K221+'DOE25'!K239</f>
        <v>796</v>
      </c>
      <c r="H7" s="259"/>
    </row>
    <row r="8" spans="1:9" x14ac:dyDescent="0.2">
      <c r="A8" s="32">
        <v>2300</v>
      </c>
      <c r="B8" t="s">
        <v>802</v>
      </c>
      <c r="C8" s="245">
        <f t="shared" si="0"/>
        <v>98501.000000000015</v>
      </c>
      <c r="D8" s="243"/>
      <c r="E8" s="20">
        <f>'DOE25'!L204+'DOE25'!L222+'DOE25'!L240-F8-G8-D9-D11</f>
        <v>93242.760000000009</v>
      </c>
      <c r="F8" s="255">
        <f>'DOE25'!J204+'DOE25'!J222+'DOE25'!J240</f>
        <v>0</v>
      </c>
      <c r="G8" s="53">
        <f>'DOE25'!K204+'DOE25'!K222+'DOE25'!K240</f>
        <v>5258.24</v>
      </c>
      <c r="H8" s="259"/>
    </row>
    <row r="9" spans="1:9" x14ac:dyDescent="0.2">
      <c r="A9" s="32">
        <v>2310</v>
      </c>
      <c r="B9" t="s">
        <v>818</v>
      </c>
      <c r="C9" s="245">
        <f t="shared" si="0"/>
        <v>21867.75</v>
      </c>
      <c r="D9" s="244">
        <v>21867.75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3250</v>
      </c>
      <c r="D10" s="243"/>
      <c r="E10" s="244">
        <v>3250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66217</v>
      </c>
      <c r="D11" s="244">
        <v>66217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158049.37</v>
      </c>
      <c r="D12" s="20">
        <f>'DOE25'!L205+'DOE25'!L223+'DOE25'!L241-F12-G12</f>
        <v>157309.37</v>
      </c>
      <c r="E12" s="243"/>
      <c r="F12" s="255">
        <f>'DOE25'!J205+'DOE25'!J223+'DOE25'!J241</f>
        <v>0</v>
      </c>
      <c r="G12" s="53">
        <f>'DOE25'!K205+'DOE25'!K223+'DOE25'!K241</f>
        <v>740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658.52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658.52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112258.81</v>
      </c>
      <c r="D14" s="20">
        <f>'DOE25'!L207+'DOE25'!L225+'DOE25'!L243-F14-G14</f>
        <v>112258.81</v>
      </c>
      <c r="E14" s="243"/>
      <c r="F14" s="255">
        <f>'DOE25'!J207+'DOE25'!J225+'DOE25'!J243</f>
        <v>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59091.8</v>
      </c>
      <c r="D15" s="20">
        <f>'DOE25'!L208+'DOE25'!L226+'DOE25'!L244-F15-G15</f>
        <v>59091.8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4052.18</v>
      </c>
      <c r="D16" s="243"/>
      <c r="E16" s="20">
        <f>'DOE25'!L209+'DOE25'!L227+'DOE25'!L245-F16-G16</f>
        <v>4052.18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6790.75</v>
      </c>
      <c r="D22" s="243"/>
      <c r="E22" s="243"/>
      <c r="F22" s="255">
        <f>'DOE25'!L255+'DOE25'!L336</f>
        <v>6790.75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14558.350000000002</v>
      </c>
      <c r="D29" s="20">
        <f>'DOE25'!L358+'DOE25'!L359+'DOE25'!L360-'DOE25'!I367-F29-G29</f>
        <v>14558.350000000002</v>
      </c>
      <c r="E29" s="243"/>
      <c r="F29" s="255">
        <f>'DOE25'!J358+'DOE25'!J359+'DOE25'!J360</f>
        <v>0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34016.819999999992</v>
      </c>
      <c r="D31" s="20">
        <f>'DOE25'!L290+'DOE25'!L309+'DOE25'!L328+'DOE25'!L333+'DOE25'!L334+'DOE25'!L335-F31-G31</f>
        <v>15776.559999999992</v>
      </c>
      <c r="E31" s="243"/>
      <c r="F31" s="255">
        <f>'DOE25'!J290+'DOE25'!J309+'DOE25'!J328+'DOE25'!J333+'DOE25'!J334+'DOE25'!J335</f>
        <v>17799.5</v>
      </c>
      <c r="G31" s="53">
        <f>'DOE25'!K290+'DOE25'!K309+'DOE25'!K328+'DOE25'!K333+'DOE25'!K334+'DOE25'!K335</f>
        <v>440.76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1747295.6400000004</v>
      </c>
      <c r="E33" s="246">
        <f>SUM(E5:E31)</f>
        <v>100544.94</v>
      </c>
      <c r="F33" s="246">
        <f>SUM(F5:F31)</f>
        <v>25790.2</v>
      </c>
      <c r="G33" s="246">
        <f>SUM(G5:G31)</f>
        <v>8588.52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100544.94</v>
      </c>
      <c r="E35" s="249"/>
    </row>
    <row r="36" spans="2:8" ht="12" thickTop="1" x14ac:dyDescent="0.2">
      <c r="B36" t="s">
        <v>815</v>
      </c>
      <c r="D36" s="20">
        <f>D33</f>
        <v>1747295.6400000004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NEWINGTON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85782.85</v>
      </c>
      <c r="D8" s="95">
        <f>'DOE25'!G9</f>
        <v>50</v>
      </c>
      <c r="E8" s="95">
        <f>'DOE25'!H9</f>
        <v>0</v>
      </c>
      <c r="F8" s="95">
        <f>'DOE25'!I9</f>
        <v>23958.02</v>
      </c>
      <c r="G8" s="95">
        <f>'DOE25'!J9</f>
        <v>60730.17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74.819999999999993</v>
      </c>
      <c r="D11" s="95">
        <f>'DOE25'!G12</f>
        <v>0</v>
      </c>
      <c r="E11" s="95">
        <f>'DOE25'!H12</f>
        <v>2951.74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745.92</v>
      </c>
      <c r="D12" s="95">
        <f>'DOE25'!G13</f>
        <v>389.18</v>
      </c>
      <c r="E12" s="95">
        <f>'DOE25'!H13</f>
        <v>0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731.49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86603.590000000011</v>
      </c>
      <c r="D18" s="41">
        <f>SUM(D8:D17)</f>
        <v>1170.67</v>
      </c>
      <c r="E18" s="41">
        <f>SUM(E8:E17)</f>
        <v>2951.74</v>
      </c>
      <c r="F18" s="41">
        <f>SUM(F8:F17)</f>
        <v>23958.02</v>
      </c>
      <c r="G18" s="41">
        <f>SUM(G8:G17)</f>
        <v>60730.17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2951.74</v>
      </c>
      <c r="D21" s="95">
        <f>'DOE25'!G22</f>
        <v>74.819999999999993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4120.6499999999996</v>
      </c>
      <c r="D23" s="95">
        <f>'DOE25'!G24</f>
        <v>364.36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3745.42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10817.81</v>
      </c>
      <c r="D31" s="41">
        <f>SUM(D21:D30)</f>
        <v>439.18</v>
      </c>
      <c r="E31" s="41">
        <f>SUM(E21:E30)</f>
        <v>0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731.49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0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45816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6681.38</v>
      </c>
      <c r="D47" s="95">
        <f>'DOE25'!G48</f>
        <v>0</v>
      </c>
      <c r="E47" s="95">
        <f>'DOE25'!H48</f>
        <v>2951.74</v>
      </c>
      <c r="F47" s="95">
        <f>'DOE25'!I48</f>
        <v>23958.02</v>
      </c>
      <c r="G47" s="95">
        <f>'DOE25'!J48</f>
        <v>60730.17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23288.400000000001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75785.78</v>
      </c>
      <c r="D50" s="41">
        <f>SUM(D34:D49)</f>
        <v>731.49</v>
      </c>
      <c r="E50" s="41">
        <f>SUM(E34:E49)</f>
        <v>2951.74</v>
      </c>
      <c r="F50" s="41">
        <f>SUM(F34:F49)</f>
        <v>23958.02</v>
      </c>
      <c r="G50" s="41">
        <f>SUM(G34:G49)</f>
        <v>60730.17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86603.59</v>
      </c>
      <c r="D51" s="41">
        <f>D50+D31</f>
        <v>1170.67</v>
      </c>
      <c r="E51" s="41">
        <f>E50+E31</f>
        <v>2951.74</v>
      </c>
      <c r="F51" s="41">
        <f>F50+F31</f>
        <v>23958.02</v>
      </c>
      <c r="G51" s="41">
        <f>G50+G31</f>
        <v>60730.17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621432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8872.5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0</v>
      </c>
      <c r="D59" s="95">
        <f>'DOE25'!G96</f>
        <v>0</v>
      </c>
      <c r="E59" s="95">
        <f>'DOE25'!H96</f>
        <v>0</v>
      </c>
      <c r="F59" s="95">
        <f>'DOE25'!I96</f>
        <v>6.16</v>
      </c>
      <c r="G59" s="95">
        <f>'DOE25'!J96</f>
        <v>121.46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13115.19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9556.0300000000007</v>
      </c>
      <c r="D61" s="95">
        <f>SUM('DOE25'!G98:G110)</f>
        <v>0</v>
      </c>
      <c r="E61" s="95">
        <f>SUM('DOE25'!H98:H110)</f>
        <v>19283.93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18428.53</v>
      </c>
      <c r="D62" s="130">
        <f>SUM(D57:D61)</f>
        <v>13115.19</v>
      </c>
      <c r="E62" s="130">
        <f>SUM(E57:E61)</f>
        <v>19283.93</v>
      </c>
      <c r="F62" s="130">
        <f>SUM(F57:F61)</f>
        <v>6.16</v>
      </c>
      <c r="G62" s="130">
        <f>SUM(G57:G61)</f>
        <v>121.46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639860.53</v>
      </c>
      <c r="D63" s="22">
        <f>D56+D62</f>
        <v>13115.19</v>
      </c>
      <c r="E63" s="22">
        <f>E56+E62</f>
        <v>19283.93</v>
      </c>
      <c r="F63" s="22">
        <f>F56+F62</f>
        <v>6.16</v>
      </c>
      <c r="G63" s="22">
        <f>G56+G62</f>
        <v>121.46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0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1211198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1211198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0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276.49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0</v>
      </c>
      <c r="D78" s="130">
        <f>SUM(D72:D77)</f>
        <v>276.49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1211198</v>
      </c>
      <c r="D81" s="130">
        <f>SUM(D79:D80)+D78+D70</f>
        <v>276.49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15182.04</v>
      </c>
      <c r="D88" s="95">
        <f>SUM('DOE25'!G153:G161)</f>
        <v>5128.75</v>
      </c>
      <c r="E88" s="95">
        <f>SUM('DOE25'!H153:H161)</f>
        <v>13079.96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15182.04</v>
      </c>
      <c r="D91" s="131">
        <f>SUM(D85:D90)</f>
        <v>5128.75</v>
      </c>
      <c r="E91" s="131">
        <f>SUM(E85:E90)</f>
        <v>13079.96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13202.04</v>
      </c>
      <c r="E96" s="95">
        <f>'DOE25'!H179</f>
        <v>2681.11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13202.04</v>
      </c>
      <c r="E103" s="86">
        <f>SUM(E93:E102)</f>
        <v>2681.11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1866240.57</v>
      </c>
      <c r="D104" s="86">
        <f>D63+D81+D91+D103</f>
        <v>31722.47</v>
      </c>
      <c r="E104" s="86">
        <f>E63+E81+E91+E103</f>
        <v>35045</v>
      </c>
      <c r="F104" s="86">
        <f>F63+F81+F91+F103</f>
        <v>6.16</v>
      </c>
      <c r="G104" s="86">
        <f>G63+G81+G103</f>
        <v>121.46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1051624.04</v>
      </c>
      <c r="D109" s="24" t="s">
        <v>289</v>
      </c>
      <c r="E109" s="95">
        <f>('DOE25'!L276)+('DOE25'!L295)+('DOE25'!L314)</f>
        <v>8375.7999999999993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155653.22</v>
      </c>
      <c r="D110" s="24" t="s">
        <v>289</v>
      </c>
      <c r="E110" s="95">
        <f>('DOE25'!L277)+('DOE25'!L296)+('DOE25'!L315)</f>
        <v>0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11635.439999999999</v>
      </c>
      <c r="D112" s="24" t="s">
        <v>289</v>
      </c>
      <c r="E112" s="95">
        <f>+('DOE25'!L279)+('DOE25'!L298)+('DOE25'!L317)</f>
        <v>8706.2999999999993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1218912.7</v>
      </c>
      <c r="D115" s="86">
        <f>SUM(D109:D114)</f>
        <v>0</v>
      </c>
      <c r="E115" s="86">
        <f>SUM(E109:E114)</f>
        <v>17082.099999999999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54296.340000000004</v>
      </c>
      <c r="D118" s="24" t="s">
        <v>289</v>
      </c>
      <c r="E118" s="95">
        <f>+('DOE25'!L281)+('DOE25'!L300)+('DOE25'!L319)</f>
        <v>0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29697.910000000003</v>
      </c>
      <c r="D119" s="24" t="s">
        <v>289</v>
      </c>
      <c r="E119" s="95">
        <f>+('DOE25'!L282)+('DOE25'!L301)+('DOE25'!L320)</f>
        <v>13079.96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186585.75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158049.37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658.52</v>
      </c>
      <c r="D122" s="24" t="s">
        <v>289</v>
      </c>
      <c r="E122" s="95">
        <f>+('DOE25'!L285)+('DOE25'!L304)+('DOE25'!L323)</f>
        <v>440.76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112258.81</v>
      </c>
      <c r="D123" s="24" t="s">
        <v>289</v>
      </c>
      <c r="E123" s="95">
        <f>+('DOE25'!L286)+('DOE25'!L305)+('DOE25'!L324)</f>
        <v>200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59091.8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4052.18</v>
      </c>
      <c r="D125" s="24" t="s">
        <v>289</v>
      </c>
      <c r="E125" s="95">
        <f>+('DOE25'!L288)+('DOE25'!L307)+('DOE25'!L326)</f>
        <v>3214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31722.47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604690.68000000005</v>
      </c>
      <c r="D128" s="86">
        <f>SUM(D118:D127)</f>
        <v>31722.47</v>
      </c>
      <c r="E128" s="86">
        <f>SUM(E118:E127)</f>
        <v>16934.72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6790.75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13202.04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2681.11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121.46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-121.46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22673.9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1846277.2799999998</v>
      </c>
      <c r="D145" s="86">
        <f>(D115+D128+D144)</f>
        <v>31722.47</v>
      </c>
      <c r="E145" s="86">
        <f>(E115+E128+E144)</f>
        <v>34016.82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>
        <f>'DOE25'!F491</f>
        <v>0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>
        <f>'DOE25'!F492</f>
        <v>0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0</v>
      </c>
    </row>
    <row r="159" spans="1:9" x14ac:dyDescent="0.2">
      <c r="A159" s="22" t="s">
        <v>35</v>
      </c>
      <c r="B159" s="137">
        <f>'DOE25'!F498</f>
        <v>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0</v>
      </c>
    </row>
    <row r="160" spans="1:9" x14ac:dyDescent="0.2">
      <c r="A160" s="22" t="s">
        <v>36</v>
      </c>
      <c r="B160" s="137">
        <f>'DOE25'!F499</f>
        <v>0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0</v>
      </c>
    </row>
    <row r="161" spans="1:7" x14ac:dyDescent="0.2">
      <c r="A161" s="22" t="s">
        <v>37</v>
      </c>
      <c r="B161" s="137">
        <f>'DOE25'!F500</f>
        <v>0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0</v>
      </c>
    </row>
    <row r="162" spans="1:7" x14ac:dyDescent="0.2">
      <c r="A162" s="22" t="s">
        <v>38</v>
      </c>
      <c r="B162" s="137">
        <f>'DOE25'!F501</f>
        <v>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0</v>
      </c>
    </row>
    <row r="163" spans="1:7" x14ac:dyDescent="0.2">
      <c r="A163" s="22" t="s">
        <v>39</v>
      </c>
      <c r="B163" s="137">
        <f>'DOE25'!F502</f>
        <v>0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0</v>
      </c>
    </row>
    <row r="164" spans="1:7" x14ac:dyDescent="0.2">
      <c r="A164" s="22" t="s">
        <v>246</v>
      </c>
      <c r="B164" s="137">
        <f>'DOE25'!F503</f>
        <v>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NEWINGTON SCHOOL DISTRICT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31400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31400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1060000</v>
      </c>
      <c r="D10" s="182">
        <f>ROUND((C10/$C$28)*100,1)</f>
        <v>56.5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155653</v>
      </c>
      <c r="D11" s="182">
        <f>ROUND((C11/$C$28)*100,1)</f>
        <v>8.3000000000000007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20342</v>
      </c>
      <c r="D13" s="182">
        <f>ROUND((C13/$C$28)*100,1)</f>
        <v>1.1000000000000001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54296</v>
      </c>
      <c r="D15" s="182">
        <f t="shared" ref="D15:D27" si="0">ROUND((C15/$C$28)*100,1)</f>
        <v>2.9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42778</v>
      </c>
      <c r="D16" s="182">
        <f t="shared" si="0"/>
        <v>2.2999999999999998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193852</v>
      </c>
      <c r="D17" s="182">
        <f t="shared" si="0"/>
        <v>10.3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158049</v>
      </c>
      <c r="D18" s="182">
        <f t="shared" si="0"/>
        <v>8.4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1099</v>
      </c>
      <c r="D19" s="182">
        <f t="shared" si="0"/>
        <v>0.1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112459</v>
      </c>
      <c r="D20" s="182">
        <f t="shared" si="0"/>
        <v>6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59092</v>
      </c>
      <c r="D21" s="182">
        <f t="shared" si="0"/>
        <v>3.1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18606.809999999998</v>
      </c>
      <c r="D27" s="182">
        <f t="shared" si="0"/>
        <v>1</v>
      </c>
    </row>
    <row r="28" spans="1:4" x14ac:dyDescent="0.2">
      <c r="B28" s="187" t="s">
        <v>723</v>
      </c>
      <c r="C28" s="180">
        <f>SUM(C10:C27)</f>
        <v>1876226.81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6791</v>
      </c>
    </row>
    <row r="30" spans="1:4" x14ac:dyDescent="0.2">
      <c r="B30" s="187" t="s">
        <v>729</v>
      </c>
      <c r="C30" s="180">
        <f>SUM(C28:C29)</f>
        <v>1883017.81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621432</v>
      </c>
      <c r="D35" s="182">
        <f t="shared" ref="D35:D40" si="1">ROUND((C35/$C$41)*100,1)</f>
        <v>32.6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37840.080000000075</v>
      </c>
      <c r="D36" s="182">
        <f t="shared" si="1"/>
        <v>2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1211198</v>
      </c>
      <c r="D37" s="182">
        <f t="shared" si="1"/>
        <v>63.6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276</v>
      </c>
      <c r="D38" s="182">
        <f t="shared" si="1"/>
        <v>0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33391</v>
      </c>
      <c r="D39" s="182">
        <f t="shared" si="1"/>
        <v>1.8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1904137.08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NEWINGTON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2014-07-25T19:05:02Z</cp:lastPrinted>
  <dcterms:created xsi:type="dcterms:W3CDTF">1997-12-04T19:04:30Z</dcterms:created>
  <dcterms:modified xsi:type="dcterms:W3CDTF">2014-08-07T12:03:37Z</dcterms:modified>
</cp:coreProperties>
</file>