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14" i="1" l="1"/>
  <c r="F240" i="1" l="1"/>
  <c r="G202" i="1"/>
  <c r="F238" i="1"/>
  <c r="H243" i="1" l="1"/>
  <c r="J240" i="1" l="1"/>
  <c r="I238" i="1" l="1"/>
  <c r="H207" i="1"/>
  <c r="G240" i="1" l="1"/>
  <c r="G204" i="1"/>
  <c r="F204" i="1"/>
  <c r="H591" i="1" l="1"/>
  <c r="J591" i="1"/>
  <c r="H208" i="1" l="1"/>
  <c r="H244" i="1"/>
  <c r="K240" i="1" l="1"/>
  <c r="K204" i="1"/>
  <c r="I204" i="1"/>
  <c r="I240" i="1"/>
  <c r="H240" i="1"/>
  <c r="H204" i="1"/>
  <c r="J204" i="1"/>
  <c r="J239" i="1"/>
  <c r="J203" i="1"/>
  <c r="I203" i="1"/>
  <c r="I239" i="1"/>
  <c r="H239" i="1"/>
  <c r="H203" i="1"/>
  <c r="G203" i="1"/>
  <c r="G239" i="1"/>
  <c r="F239" i="1"/>
  <c r="F203" i="1"/>
  <c r="I202" i="1"/>
  <c r="G238" i="1"/>
  <c r="F202" i="1"/>
  <c r="J234" i="1"/>
  <c r="J198" i="1"/>
  <c r="I198" i="1"/>
  <c r="I234" i="1"/>
  <c r="H234" i="1"/>
  <c r="H198" i="1"/>
  <c r="G234" i="1"/>
  <c r="G198" i="1"/>
  <c r="F234" i="1"/>
  <c r="F198" i="1"/>
  <c r="K241" i="1" l="1"/>
  <c r="I241" i="1"/>
  <c r="H241" i="1"/>
  <c r="G241" i="1"/>
  <c r="F241" i="1"/>
  <c r="H238" i="1"/>
  <c r="I236" i="1"/>
  <c r="G236" i="1"/>
  <c r="F236" i="1"/>
  <c r="G208" i="1"/>
  <c r="F208" i="1"/>
  <c r="I207" i="1"/>
  <c r="G207" i="1"/>
  <c r="F207" i="1"/>
  <c r="G205" i="1"/>
  <c r="F205" i="1"/>
  <c r="I205" i="1"/>
  <c r="H205" i="1"/>
  <c r="H202" i="1"/>
  <c r="G200" i="1"/>
  <c r="F200" i="1"/>
  <c r="H200" i="1"/>
  <c r="J197" i="1"/>
  <c r="K197" i="1" l="1"/>
  <c r="I197" i="1"/>
  <c r="H197" i="1"/>
  <c r="G197" i="1"/>
  <c r="F197" i="1"/>
  <c r="J205" i="1"/>
  <c r="H368" i="1" l="1"/>
  <c r="F368" i="1"/>
  <c r="F358" i="1"/>
  <c r="F367" i="1"/>
  <c r="G360" i="1"/>
  <c r="I358" i="1"/>
  <c r="G358" i="1"/>
  <c r="I360" i="1"/>
  <c r="H360" i="1"/>
  <c r="H358" i="1"/>
  <c r="K358" i="1"/>
  <c r="F360" i="1"/>
  <c r="H22" i="1" l="1"/>
  <c r="K414" i="1" l="1"/>
  <c r="F439" i="1"/>
  <c r="G439" i="1"/>
  <c r="H38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C125" i="2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L321" i="1"/>
  <c r="E120" i="2" s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29" i="10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1" i="1" s="1"/>
  <c r="C139" i="2" s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L250" i="1"/>
  <c r="L332" i="1"/>
  <c r="L254" i="1"/>
  <c r="C25" i="10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E114" i="2"/>
  <c r="D115" i="2"/>
  <c r="F115" i="2"/>
  <c r="G115" i="2"/>
  <c r="E119" i="2"/>
  <c r="E121" i="2"/>
  <c r="E122" i="2"/>
  <c r="E123" i="2"/>
  <c r="E124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G338" i="1" s="1"/>
  <c r="G352" i="1" s="1"/>
  <c r="H328" i="1"/>
  <c r="H338" i="1" s="1"/>
  <c r="H352" i="1" s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G645" i="1"/>
  <c r="H645" i="1"/>
  <c r="J645" i="1" s="1"/>
  <c r="G652" i="1"/>
  <c r="H652" i="1"/>
  <c r="G653" i="1"/>
  <c r="H653" i="1"/>
  <c r="G654" i="1"/>
  <c r="H654" i="1"/>
  <c r="H655" i="1"/>
  <c r="J655" i="1" s="1"/>
  <c r="F192" i="1"/>
  <c r="G164" i="2"/>
  <c r="C26" i="10"/>
  <c r="A31" i="12"/>
  <c r="D62" i="2"/>
  <c r="D63" i="2" s="1"/>
  <c r="D18" i="13"/>
  <c r="C18" i="13" s="1"/>
  <c r="D18" i="2"/>
  <c r="D17" i="13"/>
  <c r="C17" i="13" s="1"/>
  <c r="C91" i="2"/>
  <c r="F78" i="2"/>
  <c r="F81" i="2" s="1"/>
  <c r="D31" i="2"/>
  <c r="D50" i="2"/>
  <c r="G157" i="2"/>
  <c r="F18" i="2"/>
  <c r="G161" i="2"/>
  <c r="G156" i="2"/>
  <c r="E103" i="2"/>
  <c r="D91" i="2"/>
  <c r="E62" i="2"/>
  <c r="E63" i="2" s="1"/>
  <c r="E31" i="2"/>
  <c r="G62" i="2"/>
  <c r="D19" i="13"/>
  <c r="C19" i="13" s="1"/>
  <c r="E78" i="2"/>
  <c r="E81" i="2" s="1"/>
  <c r="L427" i="1"/>
  <c r="H112" i="1"/>
  <c r="J641" i="1"/>
  <c r="J571" i="1"/>
  <c r="K571" i="1"/>
  <c r="L433" i="1"/>
  <c r="D81" i="2"/>
  <c r="I169" i="1"/>
  <c r="J643" i="1"/>
  <c r="F476" i="1"/>
  <c r="H622" i="1" s="1"/>
  <c r="J622" i="1" s="1"/>
  <c r="I476" i="1"/>
  <c r="H625" i="1" s="1"/>
  <c r="J625" i="1" s="1"/>
  <c r="F169" i="1"/>
  <c r="J140" i="1"/>
  <c r="F571" i="1"/>
  <c r="I552" i="1"/>
  <c r="K550" i="1"/>
  <c r="G22" i="2"/>
  <c r="J552" i="1"/>
  <c r="H140" i="1"/>
  <c r="H25" i="13"/>
  <c r="C25" i="13" s="1"/>
  <c r="H571" i="1"/>
  <c r="L560" i="1"/>
  <c r="H192" i="1"/>
  <c r="L309" i="1"/>
  <c r="L570" i="1"/>
  <c r="I571" i="1"/>
  <c r="J636" i="1"/>
  <c r="G36" i="2"/>
  <c r="L565" i="1"/>
  <c r="H33" i="13"/>
  <c r="A40" i="12" l="1"/>
  <c r="A13" i="12"/>
  <c r="K545" i="1"/>
  <c r="K551" i="1"/>
  <c r="G545" i="1"/>
  <c r="L529" i="1"/>
  <c r="H552" i="1"/>
  <c r="L534" i="1"/>
  <c r="K549" i="1"/>
  <c r="H545" i="1"/>
  <c r="G552" i="1"/>
  <c r="I545" i="1"/>
  <c r="L524" i="1"/>
  <c r="F552" i="1"/>
  <c r="C20" i="10"/>
  <c r="C19" i="10"/>
  <c r="C130" i="2"/>
  <c r="K352" i="1"/>
  <c r="K598" i="1"/>
  <c r="G647" i="1" s="1"/>
  <c r="E118" i="2"/>
  <c r="E128" i="2" s="1"/>
  <c r="H662" i="1"/>
  <c r="C13" i="10"/>
  <c r="L328" i="1"/>
  <c r="C11" i="10"/>
  <c r="F338" i="1"/>
  <c r="F352" i="1" s="1"/>
  <c r="E109" i="2"/>
  <c r="J338" i="1"/>
  <c r="J352" i="1" s="1"/>
  <c r="L290" i="1"/>
  <c r="E110" i="2"/>
  <c r="E112" i="2"/>
  <c r="G651" i="1"/>
  <c r="J651" i="1" s="1"/>
  <c r="C120" i="2"/>
  <c r="F22" i="13"/>
  <c r="C22" i="13" s="1"/>
  <c r="K257" i="1"/>
  <c r="K271" i="1" s="1"/>
  <c r="E8" i="13"/>
  <c r="C8" i="13" s="1"/>
  <c r="C17" i="10"/>
  <c r="E16" i="13"/>
  <c r="C16" i="13" s="1"/>
  <c r="C21" i="10"/>
  <c r="L247" i="1"/>
  <c r="C111" i="2"/>
  <c r="C110" i="2"/>
  <c r="G650" i="1"/>
  <c r="G662" i="1"/>
  <c r="C123" i="2"/>
  <c r="C18" i="10"/>
  <c r="C16" i="10"/>
  <c r="C15" i="10"/>
  <c r="I257" i="1"/>
  <c r="I271" i="1" s="1"/>
  <c r="C112" i="2"/>
  <c r="J257" i="1"/>
  <c r="J271" i="1" s="1"/>
  <c r="L229" i="1"/>
  <c r="G660" i="1" s="1"/>
  <c r="H257" i="1"/>
  <c r="H271" i="1" s="1"/>
  <c r="G257" i="1"/>
  <c r="G271" i="1" s="1"/>
  <c r="C109" i="2"/>
  <c r="F257" i="1"/>
  <c r="F271" i="1" s="1"/>
  <c r="D14" i="13"/>
  <c r="C14" i="13" s="1"/>
  <c r="G649" i="1"/>
  <c r="J649" i="1" s="1"/>
  <c r="C124" i="2"/>
  <c r="H647" i="1"/>
  <c r="D15" i="13"/>
  <c r="C15" i="13" s="1"/>
  <c r="E13" i="13"/>
  <c r="C13" i="13" s="1"/>
  <c r="C122" i="2"/>
  <c r="D12" i="13"/>
  <c r="C12" i="13" s="1"/>
  <c r="C121" i="2"/>
  <c r="C119" i="2"/>
  <c r="D7" i="13"/>
  <c r="C7" i="13" s="1"/>
  <c r="C118" i="2"/>
  <c r="D6" i="13"/>
  <c r="C6" i="13" s="1"/>
  <c r="L211" i="1"/>
  <c r="C10" i="10"/>
  <c r="D5" i="13"/>
  <c r="C5" i="13" s="1"/>
  <c r="J634" i="1"/>
  <c r="H661" i="1"/>
  <c r="L362" i="1"/>
  <c r="C27" i="10" s="1"/>
  <c r="D29" i="13"/>
  <c r="C29" i="13" s="1"/>
  <c r="D127" i="2"/>
  <c r="D128" i="2" s="1"/>
  <c r="D145" i="2" s="1"/>
  <c r="G661" i="1"/>
  <c r="F661" i="1"/>
  <c r="C81" i="2"/>
  <c r="C62" i="2"/>
  <c r="C63" i="2"/>
  <c r="C35" i="10"/>
  <c r="F112" i="1"/>
  <c r="J644" i="1"/>
  <c r="I461" i="1"/>
  <c r="H642" i="1" s="1"/>
  <c r="J639" i="1"/>
  <c r="J640" i="1"/>
  <c r="I446" i="1"/>
  <c r="G642" i="1" s="1"/>
  <c r="H52" i="1"/>
  <c r="H619" i="1" s="1"/>
  <c r="J619" i="1" s="1"/>
  <c r="J476" i="1"/>
  <c r="H626" i="1" s="1"/>
  <c r="H476" i="1"/>
  <c r="H624" i="1" s="1"/>
  <c r="J624" i="1" s="1"/>
  <c r="G476" i="1"/>
  <c r="H623" i="1" s="1"/>
  <c r="J623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J652" i="1"/>
  <c r="G571" i="1"/>
  <c r="I434" i="1"/>
  <c r="G434" i="1"/>
  <c r="E104" i="2"/>
  <c r="I663" i="1"/>
  <c r="K552" i="1" l="1"/>
  <c r="L545" i="1"/>
  <c r="J647" i="1"/>
  <c r="H660" i="1"/>
  <c r="H664" i="1" s="1"/>
  <c r="H667" i="1" s="1"/>
  <c r="I662" i="1"/>
  <c r="L338" i="1"/>
  <c r="L352" i="1" s="1"/>
  <c r="G633" i="1" s="1"/>
  <c r="J633" i="1" s="1"/>
  <c r="D31" i="13"/>
  <c r="C31" i="13" s="1"/>
  <c r="E115" i="2"/>
  <c r="E145" i="2" s="1"/>
  <c r="F33" i="13"/>
  <c r="H648" i="1"/>
  <c r="J648" i="1" s="1"/>
  <c r="C115" i="2"/>
  <c r="L257" i="1"/>
  <c r="L271" i="1" s="1"/>
  <c r="G632" i="1" s="1"/>
  <c r="J632" i="1" s="1"/>
  <c r="E33" i="13"/>
  <c r="D35" i="13" s="1"/>
  <c r="C128" i="2"/>
  <c r="F660" i="1"/>
  <c r="C28" i="10"/>
  <c r="D24" i="10" s="1"/>
  <c r="G664" i="1"/>
  <c r="G672" i="1" s="1"/>
  <c r="C5" i="10" s="1"/>
  <c r="I661" i="1"/>
  <c r="G635" i="1"/>
  <c r="J635" i="1" s="1"/>
  <c r="C104" i="2"/>
  <c r="C36" i="10"/>
  <c r="F193" i="1"/>
  <c r="G627" i="1" s="1"/>
  <c r="J627" i="1" s="1"/>
  <c r="J642" i="1"/>
  <c r="G51" i="2"/>
  <c r="H646" i="1"/>
  <c r="J646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D33" i="13"/>
  <c r="D36" i="13" s="1"/>
  <c r="H672" i="1"/>
  <c r="C6" i="10" s="1"/>
  <c r="C145" i="2"/>
  <c r="D10" i="10"/>
  <c r="C30" i="10"/>
  <c r="D23" i="10"/>
  <c r="D26" i="10"/>
  <c r="D16" i="10"/>
  <c r="D20" i="10"/>
  <c r="D15" i="10"/>
  <c r="D25" i="10"/>
  <c r="D19" i="10"/>
  <c r="D13" i="10"/>
  <c r="D11" i="10"/>
  <c r="D21" i="10"/>
  <c r="D22" i="10"/>
  <c r="F664" i="1"/>
  <c r="F672" i="1" s="1"/>
  <c r="C4" i="10" s="1"/>
  <c r="D27" i="10"/>
  <c r="D18" i="10"/>
  <c r="D17" i="10"/>
  <c r="D12" i="10"/>
  <c r="G667" i="1"/>
  <c r="H656" i="1"/>
  <c r="C41" i="10"/>
  <c r="D38" i="10" s="1"/>
  <c r="F667" i="1" l="1"/>
  <c r="D28" i="10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<sst xmlns="http://schemas.openxmlformats.org/spreadsheetml/2006/main" count="3955" uniqueCount="912">
  <si>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</si>
  <si>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</si>
  <si>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</si>
  <si>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</si>
  <si>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</si>
  <si>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</si>
  <si>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</si>
  <si>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</si>
  <si>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</si>
  <si>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</si>
  <si>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</si>
  <si>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</si>
  <si>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</si>
  <si>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</si>
  <si>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</si>
  <si>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</si>
  <si>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</si>
  <si>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</si>
  <si>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</si>
  <si>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</si>
  <si>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</si>
  <si>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</si>
  <si>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</si>
  <si>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</si>
  <si>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</si>
  <si>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</si>
  <si>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</si>
  <si>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</si>
  <si>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</si>
  <si>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</si>
  <si>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</si>
  <si>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</si>
  <si>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</si>
  <si>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</si>
  <si>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</si>
  <si>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</si>
  <si>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</si>
  <si>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</si>
  <si>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</si>
  <si>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</si>
  <si>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</si>
  <si>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</si>
  <si>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</si>
  <si>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</si>
  <si>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</si>
  <si>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</si>
  <si>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</si>
  <si>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</si>
  <si>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</si>
  <si>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</si>
  <si>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</si>
  <si>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</si>
  <si>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</si>
  <si>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</si>
  <si>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</si>
  <si>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</si>
  <si>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</si>
  <si>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</si>
  <si>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</si>
  <si>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</si>
  <si>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</si>
  <si>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</si>
  <si>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</si>
  <si>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</si>
  <si>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</si>
  <si>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</si>
  <si>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</si>
  <si>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</si>
  <si>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</si>
  <si>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</si>
  <si>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</si>
  <si>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</si>
  <si>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</si>
  <si>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</si>
  <si>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</si>
  <si>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</si>
  <si>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</si>
  <si>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</si>
  <si>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</si>
  <si>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</si>
  <si>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</si>
  <si>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</si>
  <si>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</si>
  <si>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</si>
  <si>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</si>
  <si>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</si>
  <si>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</si>
  <si>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</si>
  <si>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</si>
  <si>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</si>
  <si>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</si>
  <si>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</si>
  <si>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</si>
  <si>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</si>
  <si>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</si>
  <si>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</si>
  <si>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</si>
  <si>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</si>
  <si>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</si>
  <si>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</si>
  <si>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</si>
  <si>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</si>
  <si>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</si>
  <si>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</si>
  <si>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</si>
  <si>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</si>
  <si>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</si>
  <si>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</si>
  <si>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</si>
  <si>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</si>
  <si>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</si>
  <si>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</si>
  <si>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</si>
  <si>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</si>
  <si>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</si>
  <si>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</si>
  <si>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</si>
  <si>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</si>
  <si>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</si>
  <si>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</si>
  <si>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</si>
  <si>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</si>
  <si>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</si>
  <si>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</si>
  <si>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</si>
  <si>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</si>
  <si>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</si>
  <si>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</si>
  <si>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</si>
  <si>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</si>
  <si>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</si>
  <si>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</si>
  <si>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</si>
  <si>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</si>
  <si>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</si>
  <si>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</si>
  <si>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</si>
  <si>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</si>
  <si>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</si>
  <si>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</si>
  <si>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</si>
  <si>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</si>
  <si>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</si>
  <si>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</si>
  <si>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</si>
  <si>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</si>
  <si>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</si>
  <si>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</si>
  <si>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</si>
  <si>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</si>
  <si>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</si>
  <si>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</si>
  <si>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</si>
  <si>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</si>
  <si>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</si>
  <si>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</si>
  <si>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</si>
  <si>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</si>
  <si>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</si>
  <si>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</si>
  <si>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</si>
  <si>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</si>
  <si>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</si>
  <si>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</si>
  <si>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</si>
  <si>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</si>
  <si>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</si>
  <si>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</si>
  <si>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</si>
  <si>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</si>
  <si>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</si>
  <si>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</si>
  <si>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</si>
  <si>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</si>
  <si>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</si>
  <si>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</si>
  <si>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</si>
  <si>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</si>
  <si>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</si>
  <si>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</si>
  <si>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</si>
  <si>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</si>
  <si>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</si>
  <si>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</si>
  <si>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</si>
  <si>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</si>
  <si>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</si>
  <si>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</si>
  <si>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</si>
  <si>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</si>
  <si>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</si>
  <si>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</si>
  <si>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</si>
  <si>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</si>
  <si>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</si>
  <si>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</si>
  <si>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</si>
  <si>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</si>
  <si>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</si>
  <si>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</si>
  <si>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</si>
  <si>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</si>
  <si>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</si>
  <si>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</si>
  <si>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</si>
  <si>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</si>
  <si>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</si>
  <si>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</si>
  <si>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</si>
  <si>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</si>
  <si>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</si>
  <si>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</si>
  <si>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</si>
  <si>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</si>
  <si>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</si>
  <si>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</si>
  <si>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</si>
  <si>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</si>
  <si>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</si>
  <si>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</si>
  <si>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</si>
  <si>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</si>
  <si>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</si>
  <si>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</si>
  <si>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</si>
  <si>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</si>
  <si>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</si>
  <si>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</si>
  <si>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</si>
  <si>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</si>
  <si>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</si>
  <si>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</si>
  <si>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</si>
  <si>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</si>
  <si>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</si>
  <si>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</si>
  <si>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</si>
  <si>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</si>
  <si>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</si>
  <si>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</si>
  <si>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</si>
  <si>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</si>
  <si>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</si>
  <si>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</si>
  <si>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</si>
  <si>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</si>
  <si>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</si>
  <si>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</si>
  <si>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</si>
  <si>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</si>
  <si>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</si>
  <si>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</si>
  <si>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</si>
  <si>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</si>
  <si>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</si>
  <si>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</si>
  <si>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</si>
  <si>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</si>
  <si>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</si>
  <si>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</si>
  <si>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</si>
  <si>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</si>
  <si>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</si>
  <si>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</si>
  <si>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</si>
  <si>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</si>
  <si>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</si>
  <si>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</si>
  <si>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</si>
  <si>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</si>
  <si>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</si>
  <si>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</si>
  <si>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</si>
  <si>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</si>
  <si>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</si>
  <si>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</si>
  <si>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</si>
  <si>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</si>
  <si>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</si>
  <si>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</si>
  <si>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</si>
  <si>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</si>
  <si>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</si>
  <si>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</si>
  <si>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</si>
  <si>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</si>
  <si>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</si>
  <si>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</si>
  <si>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</si>
  <si>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</si>
  <si>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</si>
  <si>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</si>
  <si>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</si>
  <si>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</si>
  <si>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</si>
  <si>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</si>
  <si>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</si>
  <si>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</si>
  <si>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</si>
  <si>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</si>
  <si>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</si>
  <si>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</si>
  <si>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</si>
  <si>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</si>
  <si>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</si>
  <si>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</si>
  <si>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</si>
  <si>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</si>
  <si>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</si>
  <si>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</si>
  <si>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</si>
  <si>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</si>
  <si>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</si>
  <si>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</si>
  <si>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</si>
  <si>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</si>
  <si>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</si>
  <si>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</si>
  <si>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</si>
  <si>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</si>
  <si>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</si>
  <si>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</si>
  <si>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</si>
  <si>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</si>
  <si>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</si>
  <si>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</si>
  <si>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</si>
  <si>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</si>
  <si>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</si>
  <si>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</si>
  <si>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</si>
  <si>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</si>
  <si>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</si>
  <si>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</si>
  <si>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</si>
  <si>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</si>
  <si>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</si>
  <si>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</si>
  <si>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</si>
  <si>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</si>
  <si>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</si>
  <si>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</si>
  <si>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</si>
  <si>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</si>
  <si>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</si>
  <si>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</si>
  <si>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</si>
  <si>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</si>
  <si>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</si>
  <si>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</si>
  <si>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</si>
  <si>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</si>
  <si>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</si>
  <si>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</si>
  <si>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</si>
  <si>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</si>
  <si>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</si>
  <si>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</si>
  <si>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</si>
  <si>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</si>
  <si>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</si>
  <si>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</si>
  <si>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</si>
  <si>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</si>
  <si>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</si>
  <si>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</si>
  <si>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</si>
  <si>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</si>
  <si>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</si>
  <si>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</si>
  <si>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</si>
  <si>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</si>
  <si>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</si>
  <si>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</si>
  <si>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</si>
  <si>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</si>
  <si>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</si>
  <si>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</si>
  <si>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</si>
  <si>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</si>
  <si>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</si>
  <si>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</si>
  <si>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</si>
  <si>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</si>
  <si>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</si>
  <si>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</si>
  <si>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</si>
  <si>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</si>
  <si>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</si>
  <si>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</si>
  <si>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</si>
  <si>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</si>
  <si>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</si>
  <si>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</si>
  <si>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</si>
  <si>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</si>
  <si>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</si>
  <si>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</si>
  <si>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</si>
  <si>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</si>
  <si>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</si>
  <si>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</si>
  <si>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</si>
  <si>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</si>
  <si>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</si>
  <si>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</si>
  <si>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</si>
  <si>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</si>
  <si>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</si>
  <si>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</si>
  <si>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</si>
  <si>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</si>
  <si>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</si>
  <si>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</si>
  <si>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</si>
  <si>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</si>
  <si>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</si>
  <si>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</si>
  <si>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</si>
  <si>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</si>
  <si>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</si>
  <si>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</si>
  <si>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</si>
  <si>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</si>
  <si>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</si>
  <si>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</si>
  <si>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</si>
  <si>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</si>
  <si>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</si>
  <si>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</si>
  <si>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</si>
  <si>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</si>
  <si>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</si>
  <si>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</si>
  <si>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</si>
  <si>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</si>
  <si>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</si>
  <si>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</si>
  <si>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</si>
  <si>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</si>
  <si>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</si>
  <si>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</si>
  <si>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</si>
  <si>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</si>
  <si>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</si>
  <si>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</si>
  <si>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</si>
  <si>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</si>
  <si>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</si>
  <si>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</si>
  <si>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</si>
  <si>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</si>
  <si>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</si>
  <si>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</si>
  <si>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</si>
  <si>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</si>
  <si>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</si>
  <si>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</si>
  <si>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</si>
  <si>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</si>
  <si>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</si>
  <si>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</si>
  <si>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</si>
  <si>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</si>
  <si>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</si>
  <si>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</si>
  <si>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</si>
  <si>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</si>
  <si>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</si>
  <si>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</si>
  <si>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</si>
  <si>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</si>
  <si>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</si>
  <si>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</si>
  <si>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</si>
  <si>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</si>
  <si>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</si>
  <si>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</si>
  <si>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</si>
  <si>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</si>
  <si>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</si>
  <si>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</si>
  <si>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</si>
  <si>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</si>
  <si>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</si>
  <si>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</si>
  <si>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</si>
  <si>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</si>
  <si>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</si>
  <si>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</si>
  <si>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</si>
  <si>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</si>
  <si>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</si>
  <si>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</si>
  <si>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</si>
  <si>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</si>
  <si>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</si>
  <si>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</si>
  <si>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</si>
  <si>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</si>
  <si>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</si>
  <si>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</si>
  <si>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</si>
  <si>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</si>
  <si>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</si>
  <si>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</si>
  <si>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</si>
  <si>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</si>
  <si>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</si>
  <si>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</si>
  <si>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</si>
  <si>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</si>
  <si>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</si>
  <si>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</si>
  <si>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</si>
  <si>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</si>
  <si>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</si>
  <si>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</si>
  <si>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</si>
  <si>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</si>
  <si>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</si>
  <si>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</si>
  <si>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</si>
  <si>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</si>
  <si>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</si>
  <si>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</si>
  <si>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</si>
  <si>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</si>
  <si>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</si>
  <si>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</si>
  <si>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</si>
  <si>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</si>
  <si>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</si>
  <si>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</si>
  <si>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</si>
  <si>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</si>
  <si>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</si>
  <si>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</si>
  <si>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</si>
  <si>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</si>
  <si>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</si>
  <si>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</si>
  <si>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</si>
  <si>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</si>
  <si>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</si>
  <si>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</si>
  <si>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</si>
  <si>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</si>
  <si>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</si>
  <si>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</si>
  <si>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</si>
  <si>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</si>
  <si>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</si>
  <si>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</si>
  <si>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</si>
  <si>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</si>
  <si>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</si>
  <si>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</si>
  <si>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</si>
  <si>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</si>
  <si>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</si>
  <si>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</si>
  <si>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</si>
  <si>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</si>
  <si>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</si>
  <si>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</si>
  <si>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</si>
  <si>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</si>
  <si>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</si>
  <si>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</si>
  <si>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</si>
  <si>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</si>
  <si>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</si>
  <si>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</si>
  <si>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</si>
  <si>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</si>
  <si>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</si>
  <si>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</si>
  <si>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</si>
  <si>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</si>
  <si>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</si>
  <si>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</si>
  <si>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</si>
  <si>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</si>
  <si>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</si>
  <si>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</si>
  <si>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</si>
  <si>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</si>
  <si>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</si>
  <si>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</si>
  <si>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</si>
  <si>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</si>
  <si>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</si>
  <si>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</si>
  <si>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</si>
  <si>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</si>
  <si>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</si>
  <si>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</si>
  <si>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</si>
  <si>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</si>
  <si>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</si>
  <si>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</si>
  <si>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</si>
  <si>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</si>
  <si>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</si>
  <si>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</si>
  <si>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</si>
  <si>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</si>
  <si>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</si>
  <si>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</si>
  <si>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</si>
  <si>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</si>
  <si>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</si>
  <si>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</si>
  <si>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</si>
  <si>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</si>
  <si>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</si>
  <si>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</si>
  <si>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</si>
  <si>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</si>
  <si>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</si>
  <si>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</si>
  <si>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</si>
  <si>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</si>
  <si>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</si>
  <si>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</si>
  <si>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</si>
  <si>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</si>
  <si>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</si>
  <si>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</si>
  <si>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</si>
  <si>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</si>
  <si>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</si>
  <si>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</si>
  <si>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</si>
  <si>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</si>
  <si>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</si>
  <si>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</si>
  <si>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</si>
  <si>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</si>
  <si>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</si>
  <si>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</si>
  <si>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</si>
  <si>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</si>
  <si>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</si>
  <si>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</si>
  <si>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</si>
  <si>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</si>
  <si>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</si>
  <si>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</si>
  <si>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</si>
  <si>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</si>
  <si>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</si>
  <si>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</si>
  <si>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</si>
  <si>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</si>
  <si>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</si>
  <si>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</si>
  <si>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</si>
  <si>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</si>
  <si>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</si>
  <si>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</si>
  <si>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</si>
  <si>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</si>
  <si>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</si>
  <si>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</si>
  <si>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</si>
  <si>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</si>
  <si>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</si>
  <si>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</si>
  <si>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</si>
  <si>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</si>
  <si>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</si>
  <si>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</si>
  <si>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</si>
  <si>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</si>
  <si>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</si>
  <si>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</si>
  <si>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</si>
  <si>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</si>
  <si>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</si>
  <si>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</si>
  <si>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</si>
  <si>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</si>
  <si>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</si>
  <si>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</si>
  <si>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</si>
  <si>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</si>
  <si>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</si>
  <si>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</si>
  <si>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</si>
  <si>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</si>
  <si>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</si>
  <si>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</si>
  <si>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</si>
  <si>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</si>
  <si>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</si>
  <si>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</si>
  <si>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</si>
  <si>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</si>
  <si>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</si>
  <si>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</si>
  <si>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</si>
  <si>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</si>
  <si>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</si>
  <si>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</si>
  <si>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</si>
  <si>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</si>
  <si>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</si>
  <si>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</si>
  <si>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</si>
  <si>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</si>
  <si>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</si>
  <si>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</si>
  <si>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</si>
  <si>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</si>
  <si>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</si>
  <si>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</si>
  <si>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</si>
  <si>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</si>
  <si>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</si>
  <si>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</si>
  <si>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</si>
  <si>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</si>
  <si>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</si>
  <si>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</si>
  <si>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</si>
  <si>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</si>
  <si>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</si>
  <si>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</si>
  <si>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</si>
  <si>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</si>
  <si>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</si>
  <si>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</si>
  <si>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</si>
  <si>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</si>
  <si>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</si>
  <si>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</si>
  <si>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</si>
  <si>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</si>
  <si>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</si>
  <si>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</si>
  <si>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</si>
  <si>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</si>
  <si>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</si>
  <si>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</si>
  <si>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</si>
  <si>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</si>
  <si>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</si>
  <si>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</si>
  <si>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</si>
  <si>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</si>
  <si>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</si>
  <si>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</si>
  <si>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</si>
  <si>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</si>
  <si>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</si>
  <si>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</si>
  <si>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</si>
  <si>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</si>
  <si>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</si>
  <si>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</si>
  <si>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</si>
  <si>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</si>
  <si>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</si>
  <si>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</si>
  <si>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</si>
  <si>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</si>
  <si>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</si>
  <si>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</si>
  <si>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</si>
  <si>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</si>
  <si>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</si>
  <si>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</si>
  <si>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</si>
  <si>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</si>
  <si>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</si>
  <si>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</si>
  <si>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</si>
  <si>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</si>
  <si>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</si>
  <si>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</si>
  <si>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</si>
  <si>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</si>
  <si>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</si>
  <si>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</si>
  <si>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</si>
  <si>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</si>
  <si>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</si>
  <si>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</si>
  <si>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</si>
  <si>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</si>
  <si>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</si>
  <si>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</si>
  <si>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</si>
  <si>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</si>
  <si>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</si>
  <si>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</si>
  <si>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</si>
  <si>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</si>
  <si>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</si>
  <si>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</si>
  <si>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</si>
  <si>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</si>
  <si>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</si>
  <si>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</si>
  <si>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</si>
  <si>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</si>
  <si>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</si>
  <si>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</si>
  <si>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</si>
  <si>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</si>
  <si>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</si>
  <si>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</si>
  <si>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</si>
  <si>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</si>
  <si>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</si>
  <si>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</si>
  <si>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</si>
  <si>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</si>
  <si>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</si>
  <si>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</si>
  <si>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</si>
  <si>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</si>
  <si>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</si>
  <si>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</si>
  <si>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</si>
  <si>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</si>
  <si>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</si>
  <si>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</si>
  <si>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</si>
  <si>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</si>
  <si>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</si>
  <si>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</si>
  <si>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</si>
  <si>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</si>
  <si>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</si>
  <si>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</si>
  <si>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</si>
  <si>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</si>
  <si>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</si>
  <si>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</si>
  <si>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</si>
  <si>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</si>
  <si>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</si>
  <si>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</si>
  <si>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</si>
  <si>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</si>
  <si>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</si>
  <si>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</si>
  <si>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</si>
  <si>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</si>
  <si>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</si>
  <si>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</si>
  <si>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</si>
  <si>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</si>
  <si>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</si>
  <si>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</si>
  <si>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</si>
  <si>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</si>
  <si>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</si>
  <si>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</si>
  <si>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</si>
  <si>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</si>
  <si>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</si>
  <si>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</si>
  <si>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</si>
  <si>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</si>
  <si>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</si>
  <si>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</si>
  <si>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</si>
  <si>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</si>
  <si>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</si>
  <si>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</si>
  <si>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</si>
  <si>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</si>
  <si>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</si>
  <si>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</si>
  <si>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</si>
  <si>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</si>
  <si>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</si>
  <si>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</si>
  <si>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</si>
  <si>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</si>
  <si>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</si>
  <si>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</si>
  <si>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</si>
  <si>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</si>
  <si>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</si>
  <si>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</si>
  <si>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</si>
  <si>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</si>
  <si>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</si>
  <si>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</si>
  <si>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</si>
  <si>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</si>
  <si>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</si>
  <si>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</si>
  <si>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</si>
  <si>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</si>
  <si>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</si>
  <si>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</si>
  <si>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</si>
  <si>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</si>
  <si>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</si>
  <si>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</si>
  <si>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</si>
  <si>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</si>
  <si>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</si>
  <si>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</si>
  <si>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</si>
  <si>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Newmarket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</si>
</sst>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0" zoomScaleNormal="9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399</v>
      </c>
      <c r="C2" s="21">
        <v>399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1529359.25</v>
      </c>
      <c r="G9" s="18"/>
      <c r="H9" s="18"/>
      <c r="I9" s="18"/>
      <c r="J9" s="67">
        <f>SUM(I439)</f>
        <v>1060548.01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10262.299999999999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25737.15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39703.58</v>
      </c>
      <c r="G14" s="18"/>
      <c r="H14" s="18">
        <f>78427.81+16836.22</f>
        <v>95264.03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6032.91</v>
      </c>
      <c r="H16" s="18" t="s">
        <v>287</v>
      </c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>
        <v>-3635.36</v>
      </c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1579325.1300000001</v>
      </c>
      <c r="G19" s="41">
        <f>SUM(G9:G18)</f>
        <v>28134.7</v>
      </c>
      <c r="H19" s="41">
        <f>SUM(H9:H18)</f>
        <v>95264.03</v>
      </c>
      <c r="I19" s="41">
        <f>SUM(I9:I18)</f>
        <v>0</v>
      </c>
      <c r="J19" s="41">
        <f>SUM(J9:J18)</f>
        <v>1060548.01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-77739.259999999995</v>
      </c>
      <c r="G22" s="18">
        <v>16147.67</v>
      </c>
      <c r="H22" s="18">
        <f>78427.81</f>
        <v>78427.81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453118.95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481892.67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857272.36</v>
      </c>
      <c r="G32" s="41">
        <f>SUM(G22:G31)</f>
        <v>16147.67</v>
      </c>
      <c r="H32" s="41">
        <f>SUM(H22:H31)</f>
        <v>78427.81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1060548.01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11987.03</v>
      </c>
      <c r="H49" s="18">
        <v>16836.22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622052.77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722052.77</v>
      </c>
      <c r="G51" s="41">
        <f>SUM(G35:G50)</f>
        <v>11987.03</v>
      </c>
      <c r="H51" s="41">
        <f>SUM(H35:H50)</f>
        <v>16836.22</v>
      </c>
      <c r="I51" s="41">
        <f>SUM(I35:I50)</f>
        <v>0</v>
      </c>
      <c r="J51" s="41">
        <f>SUM(J35:J50)</f>
        <v>1060548.01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1579325.13</v>
      </c>
      <c r="G52" s="41">
        <f>G51+G32</f>
        <v>28134.7</v>
      </c>
      <c r="H52" s="41">
        <f>H51+H32</f>
        <v>95264.03</v>
      </c>
      <c r="I52" s="41">
        <f>I51+I32</f>
        <v>0</v>
      </c>
      <c r="J52" s="41">
        <f>J51+J32</f>
        <v>1060548.01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11180342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11180342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15143.08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7879.8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23022.880000000001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16837.349999999999</v>
      </c>
      <c r="G96" s="18"/>
      <c r="H96" s="18"/>
      <c r="I96" s="18"/>
      <c r="J96" s="18">
        <v>100.14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143111.15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6774.4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93815.78</v>
      </c>
      <c r="G110" s="18">
        <v>7276.7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117427.53</v>
      </c>
      <c r="G111" s="41">
        <f>SUM(G96:G110)</f>
        <v>150387.85</v>
      </c>
      <c r="H111" s="41">
        <f>SUM(H96:H110)</f>
        <v>0</v>
      </c>
      <c r="I111" s="41">
        <f>SUM(I96:I110)</f>
        <v>0</v>
      </c>
      <c r="J111" s="41">
        <f>SUM(J96:J110)</f>
        <v>100.14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11320792.41</v>
      </c>
      <c r="G112" s="41">
        <f>G60+G111</f>
        <v>150387.85</v>
      </c>
      <c r="H112" s="41">
        <f>H60+H79+H94+H111</f>
        <v>0</v>
      </c>
      <c r="I112" s="41">
        <f>I60+I111</f>
        <v>0</v>
      </c>
      <c r="J112" s="41">
        <f>J60+J111</f>
        <v>100.14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2265418.7799999998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1741081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4006499.78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74153.17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10908.8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4255.47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85061.97</v>
      </c>
      <c r="G136" s="41">
        <f>SUM(G123:G135)</f>
        <v>4255.47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4091561.75</v>
      </c>
      <c r="G140" s="41">
        <f>G121+SUM(G136:G137)</f>
        <v>4255.47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112259.18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81695.03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135507.01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257930.41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271172.40000000002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271172.40000000002</v>
      </c>
      <c r="G162" s="41">
        <f>SUM(G150:G161)</f>
        <v>135507.01</v>
      </c>
      <c r="H162" s="41">
        <f>SUM(H150:H161)</f>
        <v>451884.62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>
        <v>35438.769999999997</v>
      </c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271172.40000000002</v>
      </c>
      <c r="G169" s="41">
        <f>G147+G162+SUM(G163:G168)</f>
        <v>135507.01</v>
      </c>
      <c r="H169" s="41">
        <f>H147+H162+SUM(H163:H168)</f>
        <v>487323.39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168.9</v>
      </c>
      <c r="H179" s="18"/>
      <c r="I179" s="18"/>
      <c r="J179" s="18">
        <v>881907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168.9</v>
      </c>
      <c r="H183" s="41">
        <f>SUM(H179:H182)</f>
        <v>0</v>
      </c>
      <c r="I183" s="41">
        <f>SUM(I179:I182)</f>
        <v>0</v>
      </c>
      <c r="J183" s="41">
        <f>SUM(J179:J182)</f>
        <v>881907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762020.59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762020.59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762020.59</v>
      </c>
      <c r="G192" s="41">
        <f>G183+SUM(G188:G191)</f>
        <v>168.9</v>
      </c>
      <c r="H192" s="41">
        <f>+H183+SUM(H188:H191)</f>
        <v>0</v>
      </c>
      <c r="I192" s="41">
        <f>I177+I183+SUM(I188:I191)</f>
        <v>0</v>
      </c>
      <c r="J192" s="41">
        <f>J183</f>
        <v>881907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16445547.15</v>
      </c>
      <c r="G193" s="47">
        <f>G112+G140+G169+G192</f>
        <v>290319.23000000004</v>
      </c>
      <c r="H193" s="47">
        <f>H112+H140+H169+H192</f>
        <v>487323.39</v>
      </c>
      <c r="I193" s="47">
        <f>I112+I140+I169+I192</f>
        <v>0</v>
      </c>
      <c r="J193" s="47">
        <f>J112+J140+J192</f>
        <v>882007.14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1706360.26+847721.55</f>
        <v>2554081.81</v>
      </c>
      <c r="G197" s="18">
        <f>766523.43+400204</f>
        <v>1166727.4300000002</v>
      </c>
      <c r="H197" s="18">
        <f>1176.37</f>
        <v>1176.3699999999999</v>
      </c>
      <c r="I197" s="18">
        <f>45742.89+20991.1</f>
        <v>66733.989999999991</v>
      </c>
      <c r="J197" s="18">
        <f>2651.74+3027.43</f>
        <v>5679.17</v>
      </c>
      <c r="K197" s="18">
        <f>1009.32</f>
        <v>1009.32</v>
      </c>
      <c r="L197" s="19">
        <f>SUM(F197:K197)</f>
        <v>3795408.0900000003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988129.95+42844.92+350686.51+22762.13</f>
        <v>1404423.5099999998</v>
      </c>
      <c r="G198" s="18">
        <f>343810.39+3817.59+99930.06+3554.43</f>
        <v>451112.47000000003</v>
      </c>
      <c r="H198" s="18">
        <f>402.76+90+4560.42+482965.11</f>
        <v>488018.29</v>
      </c>
      <c r="I198" s="18">
        <f>2370.83+1135.7+40.61+480.75</f>
        <v>4027.89</v>
      </c>
      <c r="J198" s="18">
        <f>626.45+4089.18</f>
        <v>4715.63</v>
      </c>
      <c r="K198" s="18"/>
      <c r="L198" s="19">
        <f>SUM(F198:K198)</f>
        <v>2352297.7899999996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245467.19+9870+1675+1267.5+10590+15926.4+4578+8096+7322.5</f>
        <v>304792.59000000003</v>
      </c>
      <c r="G200" s="18">
        <f>85693.36+2114.97+317.13+203.18+2277.88+12160.34+946.36+1163.42+1527.24</f>
        <v>106403.88</v>
      </c>
      <c r="H200" s="18">
        <f>2348</f>
        <v>2348</v>
      </c>
      <c r="I200" s="18">
        <v>653.21</v>
      </c>
      <c r="J200" s="18"/>
      <c r="K200" s="18"/>
      <c r="L200" s="19">
        <f>SUM(F200:K200)</f>
        <v>414197.68000000005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45567+56524+130239+86758+92190.25+18612.78+22248.4+86246.3</f>
        <v>538385.7300000001</v>
      </c>
      <c r="G202" s="18">
        <f>30839.27+31053.71+70536.54+36575.84+29791.52+12125.74+12904.61+42021.01</f>
        <v>265848.24</v>
      </c>
      <c r="H202" s="18">
        <f>275+500.05+253</f>
        <v>1028.05</v>
      </c>
      <c r="I202" s="18">
        <f>314.24+3744.57+598.52+1554.96+163.28+363.86+578.93</f>
        <v>7318.36</v>
      </c>
      <c r="J202" s="18"/>
      <c r="K202" s="18"/>
      <c r="L202" s="19">
        <f t="shared" ref="L202:L208" si="0">SUM(F202:K202)</f>
        <v>812580.38000000012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35028.01+12262.43+55650.75+118385.06</f>
        <v>221326.25</v>
      </c>
      <c r="G203" s="18">
        <f>6906+9632.11+4032.88+18140.92+40174.62</f>
        <v>78886.53</v>
      </c>
      <c r="H203" s="18">
        <f>10286.28+3053+104.59+2249.69+619.21+54568.23</f>
        <v>70881</v>
      </c>
      <c r="I203" s="18">
        <f>6783.23+670.26+1809.41+457.74+15017.12+43199.7</f>
        <v>67937.459999999992</v>
      </c>
      <c r="J203" s="18">
        <f>58361.73+446.72+52460.86+1762.65</f>
        <v>113031.95999999999</v>
      </c>
      <c r="K203" s="18">
        <v>1003.5</v>
      </c>
      <c r="L203" s="19">
        <f t="shared" si="0"/>
        <v>553066.69999999995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8386.31+91504.58+122420.73</f>
        <v>222311.62</v>
      </c>
      <c r="G204" s="18">
        <f>615.79+42403.57+37502.74</f>
        <v>80522.100000000006</v>
      </c>
      <c r="H204" s="18">
        <f>43575.28+18792.47+3094.95</f>
        <v>65462.7</v>
      </c>
      <c r="I204" s="18">
        <f>11728.83+600.51</f>
        <v>12329.34</v>
      </c>
      <c r="J204" s="18">
        <f>3151.1</f>
        <v>3151.1</v>
      </c>
      <c r="K204" s="18">
        <f>70023.79+1995.64+1663.42</f>
        <v>73682.849999999991</v>
      </c>
      <c r="L204" s="19">
        <f t="shared" si="0"/>
        <v>457459.70999999996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236005.69+107000.03+4830</f>
        <v>347835.72</v>
      </c>
      <c r="G205" s="18">
        <f>103545.01+30864.26+1032.36</f>
        <v>135441.62999999998</v>
      </c>
      <c r="H205" s="18">
        <f>25116.45+1490.3</f>
        <v>26606.75</v>
      </c>
      <c r="I205" s="18">
        <f>5105.73+523.93</f>
        <v>5629.66</v>
      </c>
      <c r="J205" s="18">
        <f>1470</f>
        <v>1470</v>
      </c>
      <c r="K205" s="18">
        <v>841.94</v>
      </c>
      <c r="L205" s="19">
        <f t="shared" si="0"/>
        <v>517825.69999999995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127990.43</v>
      </c>
      <c r="G206" s="18">
        <v>48321.54</v>
      </c>
      <c r="H206" s="18"/>
      <c r="I206" s="18"/>
      <c r="J206" s="18"/>
      <c r="K206" s="18"/>
      <c r="L206" s="19">
        <f t="shared" si="0"/>
        <v>176311.97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141247.5+59359.85</f>
        <v>200607.35</v>
      </c>
      <c r="G207" s="18">
        <f>48017.98+23895.32</f>
        <v>71913.3</v>
      </c>
      <c r="H207" s="18">
        <f>180089.79+45285.32+22925.51</f>
        <v>248300.62000000002</v>
      </c>
      <c r="I207" s="18">
        <f>144842.23+6739.09</f>
        <v>151581.32</v>
      </c>
      <c r="J207" s="18"/>
      <c r="K207" s="18"/>
      <c r="L207" s="19">
        <f t="shared" si="0"/>
        <v>672402.59000000008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9182.55+30</f>
        <v>9212.5499999999993</v>
      </c>
      <c r="G208" s="18">
        <f>1732.35+5.52</f>
        <v>1737.87</v>
      </c>
      <c r="H208" s="18">
        <f>1681.34+5813.32+4381.78+165900+112591.51</f>
        <v>290367.95</v>
      </c>
      <c r="I208" s="18"/>
      <c r="J208" s="18"/>
      <c r="K208" s="18"/>
      <c r="L208" s="19">
        <f t="shared" si="0"/>
        <v>301318.37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5930967.5599999996</v>
      </c>
      <c r="G211" s="41">
        <f t="shared" si="1"/>
        <v>2406914.9900000002</v>
      </c>
      <c r="H211" s="41">
        <f t="shared" si="1"/>
        <v>1194189.73</v>
      </c>
      <c r="I211" s="41">
        <f t="shared" si="1"/>
        <v>316211.23</v>
      </c>
      <c r="J211" s="41">
        <f t="shared" si="1"/>
        <v>128047.86</v>
      </c>
      <c r="K211" s="41">
        <f t="shared" si="1"/>
        <v>76537.61</v>
      </c>
      <c r="L211" s="41">
        <f t="shared" si="1"/>
        <v>10052868.979999999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1137643.3799999999</v>
      </c>
      <c r="G233" s="18">
        <v>453441.62</v>
      </c>
      <c r="H233" s="18">
        <v>1695.25</v>
      </c>
      <c r="I233" s="18">
        <v>34221.1</v>
      </c>
      <c r="J233" s="18">
        <v>2907.04</v>
      </c>
      <c r="K233" s="18">
        <v>7572.68</v>
      </c>
      <c r="L233" s="19">
        <f>SUM(F233:K233)</f>
        <v>1637481.07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453723.04+20495.3+7587.38</f>
        <v>481805.72</v>
      </c>
      <c r="G234" s="18">
        <f>124929.76+1814.83+1184.81</f>
        <v>127929.4</v>
      </c>
      <c r="H234" s="18">
        <f>308.97+160988.37</f>
        <v>161297.34</v>
      </c>
      <c r="I234" s="18">
        <f>1616.26+47.67+160.25</f>
        <v>1824.18</v>
      </c>
      <c r="J234" s="18">
        <f>218.16+1363.06</f>
        <v>1581.22</v>
      </c>
      <c r="K234" s="18"/>
      <c r="L234" s="19">
        <f>SUM(F234:K234)</f>
        <v>774437.86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116230</v>
      </c>
      <c r="I235" s="18"/>
      <c r="J235" s="18"/>
      <c r="K235" s="18"/>
      <c r="L235" s="19">
        <f>SUM(F235:K235)</f>
        <v>116230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24704.6+21198.5+34375+2715</f>
        <v>82993.100000000006</v>
      </c>
      <c r="G236" s="18">
        <f>18344.63+3843.08+4975.71+581.84</f>
        <v>27745.26</v>
      </c>
      <c r="H236" s="18">
        <v>24020.05</v>
      </c>
      <c r="I236" s="18">
        <f>1488+6100.2</f>
        <v>7588.2</v>
      </c>
      <c r="J236" s="18">
        <v>4940</v>
      </c>
      <c r="K236" s="18">
        <v>6395</v>
      </c>
      <c r="L236" s="19">
        <f>SUM(F236:K236)</f>
        <v>153681.61000000002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72880.51+28719.32+33897.6+28748.76</f>
        <v>164246.19</v>
      </c>
      <c r="G238" s="18">
        <f>29698.05+18249.08+19465.17+14007.01</f>
        <v>81419.31</v>
      </c>
      <c r="H238" s="18">
        <f>2294.56+297+236.39</f>
        <v>2827.95</v>
      </c>
      <c r="I238" s="18">
        <f>2543.67+433.4+120+192.97</f>
        <v>3290.04</v>
      </c>
      <c r="J238" s="18"/>
      <c r="K238" s="18">
        <v>340</v>
      </c>
      <c r="L238" s="19">
        <f t="shared" ref="L238:L244" si="4">SUM(F238:K238)</f>
        <v>252123.49000000002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21352.79+8000+18550.25+39461.69</f>
        <v>87364.73000000001</v>
      </c>
      <c r="G239" s="18">
        <f>20370.45+6244.38+2375+6046.97+13391.54</f>
        <v>48428.340000000004</v>
      </c>
      <c r="H239" s="18">
        <f>10638.13+194.59+13859.42+206.4+18189.41</f>
        <v>43087.95</v>
      </c>
      <c r="I239" s="18">
        <f>3449.35+2636.94+5005.71+14399.9</f>
        <v>25491.9</v>
      </c>
      <c r="J239" s="18">
        <f>524.39+44283.98+587.55</f>
        <v>45395.920000000006</v>
      </c>
      <c r="K239" s="18">
        <v>334.5</v>
      </c>
      <c r="L239" s="19">
        <f t="shared" si="4"/>
        <v>250103.34000000003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2795.44+30501.52+40806.91</f>
        <v>74103.87</v>
      </c>
      <c r="G240" s="18">
        <f>205.26+14134.52+12500.91</f>
        <v>26840.690000000002</v>
      </c>
      <c r="H240" s="18">
        <f>14525.09+6264.16+1031.65</f>
        <v>21820.9</v>
      </c>
      <c r="I240" s="18">
        <f>3909.61+200.17</f>
        <v>4109.78</v>
      </c>
      <c r="J240" s="18">
        <f>1050.36</f>
        <v>1050.3599999999999</v>
      </c>
      <c r="K240" s="18">
        <f>23341.26+665.21+554.47</f>
        <v>24560.94</v>
      </c>
      <c r="L240" s="19">
        <f t="shared" si="4"/>
        <v>152486.53999999998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164092.18+6570</f>
        <v>170662.18</v>
      </c>
      <c r="G241" s="18">
        <f>47044.76+1408.24</f>
        <v>48453</v>
      </c>
      <c r="H241" s="18">
        <f>15239.4</f>
        <v>15239.4</v>
      </c>
      <c r="I241" s="18">
        <f>950.11</f>
        <v>950.11</v>
      </c>
      <c r="J241" s="18"/>
      <c r="K241" s="18">
        <f>11353.78</f>
        <v>11353.78</v>
      </c>
      <c r="L241" s="19">
        <f t="shared" si="4"/>
        <v>246658.46999999997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42663.48</v>
      </c>
      <c r="G242" s="18">
        <v>16107.18</v>
      </c>
      <c r="H242" s="18"/>
      <c r="I242" s="18"/>
      <c r="J242" s="18"/>
      <c r="K242" s="18"/>
      <c r="L242" s="19">
        <f t="shared" si="4"/>
        <v>58770.66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101698.85</v>
      </c>
      <c r="G243" s="18">
        <v>40257.53</v>
      </c>
      <c r="H243" s="18">
        <f>96077.9+7641.83</f>
        <v>103719.73</v>
      </c>
      <c r="I243" s="18">
        <v>175521.34</v>
      </c>
      <c r="J243" s="18"/>
      <c r="K243" s="18"/>
      <c r="L243" s="19">
        <f t="shared" si="4"/>
        <v>421197.44999999995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2653.35+27466.94+55300+37530.51+37929</f>
        <v>160879.79999999999</v>
      </c>
      <c r="I244" s="18"/>
      <c r="J244" s="18"/>
      <c r="K244" s="18"/>
      <c r="L244" s="19">
        <f t="shared" si="4"/>
        <v>160879.79999999999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1155.7</v>
      </c>
      <c r="G245" s="18">
        <v>212.92</v>
      </c>
      <c r="H245" s="18"/>
      <c r="I245" s="18"/>
      <c r="J245" s="18"/>
      <c r="K245" s="18"/>
      <c r="L245" s="19">
        <f>SUM(F245:K245)</f>
        <v>1368.6200000000001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2344337.2000000002</v>
      </c>
      <c r="G247" s="41">
        <f t="shared" si="5"/>
        <v>870835.25000000023</v>
      </c>
      <c r="H247" s="41">
        <f t="shared" si="5"/>
        <v>650818.37</v>
      </c>
      <c r="I247" s="41">
        <f t="shared" si="5"/>
        <v>252996.65</v>
      </c>
      <c r="J247" s="41">
        <f t="shared" si="5"/>
        <v>55874.540000000008</v>
      </c>
      <c r="K247" s="41">
        <f t="shared" si="5"/>
        <v>50556.899999999994</v>
      </c>
      <c r="L247" s="41">
        <f t="shared" si="5"/>
        <v>4225418.91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762020.59</v>
      </c>
      <c r="I255" s="18"/>
      <c r="J255" s="18"/>
      <c r="K255" s="18"/>
      <c r="L255" s="19">
        <f t="shared" si="6"/>
        <v>762020.59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762020.59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762020.59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8275304.7599999998</v>
      </c>
      <c r="G257" s="41">
        <f t="shared" si="8"/>
        <v>3277750.24</v>
      </c>
      <c r="H257" s="41">
        <f t="shared" si="8"/>
        <v>2607028.69</v>
      </c>
      <c r="I257" s="41">
        <f t="shared" si="8"/>
        <v>569207.88</v>
      </c>
      <c r="J257" s="41">
        <f t="shared" si="8"/>
        <v>183922.40000000002</v>
      </c>
      <c r="K257" s="41">
        <f t="shared" si="8"/>
        <v>127094.51</v>
      </c>
      <c r="L257" s="41">
        <f t="shared" si="8"/>
        <v>15040308.479999999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168.9</v>
      </c>
      <c r="L263" s="19">
        <f>SUM(F263:K263)</f>
        <v>168.9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881907</v>
      </c>
      <c r="L266" s="19">
        <f t="shared" si="9"/>
        <v>881907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882075.9</v>
      </c>
      <c r="L270" s="41">
        <f t="shared" si="9"/>
        <v>882075.9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8275304.7599999998</v>
      </c>
      <c r="G271" s="42">
        <f t="shared" si="11"/>
        <v>3277750.24</v>
      </c>
      <c r="H271" s="42">
        <f t="shared" si="11"/>
        <v>2607028.69</v>
      </c>
      <c r="I271" s="42">
        <f t="shared" si="11"/>
        <v>569207.88</v>
      </c>
      <c r="J271" s="42">
        <f t="shared" si="11"/>
        <v>183922.40000000002</v>
      </c>
      <c r="K271" s="42">
        <f t="shared" si="11"/>
        <v>1009170.41</v>
      </c>
      <c r="L271" s="42">
        <f t="shared" si="11"/>
        <v>15922384.379999999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111669.23</v>
      </c>
      <c r="G276" s="18">
        <v>35128.19</v>
      </c>
      <c r="H276" s="18">
        <v>1027.1199999999999</v>
      </c>
      <c r="I276" s="18">
        <v>7396.8</v>
      </c>
      <c r="J276" s="18">
        <v>14610.83</v>
      </c>
      <c r="K276" s="18">
        <v>1131.8</v>
      </c>
      <c r="L276" s="19">
        <f>SUM(F276:K276)</f>
        <v>170963.96999999994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126455.21</v>
      </c>
      <c r="G277" s="18">
        <v>56384.08</v>
      </c>
      <c r="H277" s="18">
        <v>2678.01</v>
      </c>
      <c r="I277" s="18">
        <v>7689.21</v>
      </c>
      <c r="J277" s="18">
        <v>3052.7</v>
      </c>
      <c r="K277" s="18"/>
      <c r="L277" s="19">
        <f>SUM(F277:K277)</f>
        <v>196259.21000000002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46.02</v>
      </c>
      <c r="G279" s="18">
        <v>7.54</v>
      </c>
      <c r="H279" s="18"/>
      <c r="I279" s="18">
        <v>12.06</v>
      </c>
      <c r="J279" s="18"/>
      <c r="K279" s="18"/>
      <c r="L279" s="19">
        <f>SUM(F279:K279)</f>
        <v>65.62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229.01</v>
      </c>
      <c r="J281" s="18"/>
      <c r="K281" s="18"/>
      <c r="L281" s="19">
        <f t="shared" ref="L281:L287" si="12">SUM(F281:K281)</f>
        <v>229.01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10836.95</v>
      </c>
      <c r="G282" s="18">
        <v>1328.7</v>
      </c>
      <c r="H282" s="18">
        <v>6886.57</v>
      </c>
      <c r="I282" s="18">
        <v>2234.1</v>
      </c>
      <c r="J282" s="18">
        <v>1494</v>
      </c>
      <c r="K282" s="18"/>
      <c r="L282" s="19">
        <f t="shared" si="12"/>
        <v>22780.32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>
        <v>36.74</v>
      </c>
      <c r="K283" s="18"/>
      <c r="L283" s="19">
        <f t="shared" si="12"/>
        <v>36.74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236.12</v>
      </c>
      <c r="I287" s="18"/>
      <c r="J287" s="18"/>
      <c r="K287" s="18"/>
      <c r="L287" s="19">
        <f t="shared" si="12"/>
        <v>236.12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249007.41</v>
      </c>
      <c r="G290" s="42">
        <f t="shared" si="13"/>
        <v>92848.51</v>
      </c>
      <c r="H290" s="42">
        <f t="shared" si="13"/>
        <v>10827.820000000002</v>
      </c>
      <c r="I290" s="42">
        <f t="shared" si="13"/>
        <v>17561.18</v>
      </c>
      <c r="J290" s="42">
        <f t="shared" si="13"/>
        <v>19194.27</v>
      </c>
      <c r="K290" s="42">
        <f t="shared" si="13"/>
        <v>1131.8</v>
      </c>
      <c r="L290" s="41">
        <f t="shared" si="13"/>
        <v>390570.98999999993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11232.4</v>
      </c>
      <c r="G314" s="18">
        <v>3323.94</v>
      </c>
      <c r="H314" s="18">
        <v>325.32</v>
      </c>
      <c r="I314" s="18">
        <v>2092.8000000000002</v>
      </c>
      <c r="J314" s="18">
        <v>1824.87</v>
      </c>
      <c r="K314" s="18">
        <v>448.2</v>
      </c>
      <c r="L314" s="19">
        <f>SUM(F314:K314)</f>
        <v>19247.53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39598.74</v>
      </c>
      <c r="G315" s="18">
        <v>18799.13</v>
      </c>
      <c r="H315" s="18">
        <v>892.67</v>
      </c>
      <c r="I315" s="18">
        <v>2967.55</v>
      </c>
      <c r="J315" s="18">
        <v>1267.8</v>
      </c>
      <c r="K315" s="18"/>
      <c r="L315" s="19">
        <f>SUM(F315:K315)</f>
        <v>63525.89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54.02</v>
      </c>
      <c r="G317" s="18">
        <v>10.86</v>
      </c>
      <c r="H317" s="18"/>
      <c r="I317" s="18">
        <v>14.15</v>
      </c>
      <c r="J317" s="18"/>
      <c r="K317" s="18"/>
      <c r="L317" s="19">
        <f>SUM(F317:K317)</f>
        <v>79.03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>
        <v>76.34</v>
      </c>
      <c r="J319" s="18"/>
      <c r="K319" s="18"/>
      <c r="L319" s="19">
        <f t="shared" ref="L319:L325" si="16">SUM(F319:K319)</f>
        <v>76.34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3612.32</v>
      </c>
      <c r="G320" s="18">
        <v>442.9</v>
      </c>
      <c r="H320" s="18">
        <v>2062.19</v>
      </c>
      <c r="I320" s="18">
        <v>744.7</v>
      </c>
      <c r="J320" s="18"/>
      <c r="K320" s="18"/>
      <c r="L320" s="19">
        <f t="shared" si="16"/>
        <v>6862.11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>
        <v>12.25</v>
      </c>
      <c r="K321" s="18"/>
      <c r="L321" s="19">
        <f t="shared" si="16"/>
        <v>12.25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277.18</v>
      </c>
      <c r="I325" s="18"/>
      <c r="J325" s="18"/>
      <c r="K325" s="18"/>
      <c r="L325" s="19">
        <f t="shared" si="16"/>
        <v>277.18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54497.479999999996</v>
      </c>
      <c r="G328" s="42">
        <f t="shared" si="17"/>
        <v>22576.83</v>
      </c>
      <c r="H328" s="42">
        <f t="shared" si="17"/>
        <v>3557.36</v>
      </c>
      <c r="I328" s="42">
        <f t="shared" si="17"/>
        <v>5895.54</v>
      </c>
      <c r="J328" s="42">
        <f t="shared" si="17"/>
        <v>3104.92</v>
      </c>
      <c r="K328" s="42">
        <f t="shared" si="17"/>
        <v>448.2</v>
      </c>
      <c r="L328" s="41">
        <f t="shared" si="17"/>
        <v>90080.329999999987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303504.89</v>
      </c>
      <c r="G338" s="41">
        <f t="shared" si="20"/>
        <v>115425.34</v>
      </c>
      <c r="H338" s="41">
        <f t="shared" si="20"/>
        <v>14385.180000000002</v>
      </c>
      <c r="I338" s="41">
        <f t="shared" si="20"/>
        <v>23456.720000000001</v>
      </c>
      <c r="J338" s="41">
        <f t="shared" si="20"/>
        <v>22299.190000000002</v>
      </c>
      <c r="K338" s="41">
        <f t="shared" si="20"/>
        <v>1580</v>
      </c>
      <c r="L338" s="41">
        <f t="shared" si="20"/>
        <v>480651.31999999995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303504.89</v>
      </c>
      <c r="G352" s="41">
        <f>G338</f>
        <v>115425.34</v>
      </c>
      <c r="H352" s="41">
        <f>H338</f>
        <v>14385.180000000002</v>
      </c>
      <c r="I352" s="41">
        <f>I338</f>
        <v>23456.720000000001</v>
      </c>
      <c r="J352" s="41">
        <f>J338</f>
        <v>22299.190000000002</v>
      </c>
      <c r="K352" s="47">
        <f>K338+K351</f>
        <v>1580</v>
      </c>
      <c r="L352" s="41">
        <f>L338+L351</f>
        <v>480651.31999999995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27888+48754.85+30079.05</f>
        <v>106721.90000000001</v>
      </c>
      <c r="G358" s="18">
        <f>7540.25+15019.86+6896.14</f>
        <v>29456.25</v>
      </c>
      <c r="H358" s="18">
        <f>847.09+2903.26+799.12</f>
        <v>4549.47</v>
      </c>
      <c r="I358" s="18">
        <f>176.06+51944.46+37545.38</f>
        <v>89665.9</v>
      </c>
      <c r="J358" s="18"/>
      <c r="K358" s="18">
        <f>531</f>
        <v>531</v>
      </c>
      <c r="L358" s="13">
        <f>SUM(F358:K358)</f>
        <v>230924.52000000002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9296+26678.03</f>
        <v>35974.03</v>
      </c>
      <c r="G360" s="18">
        <f>2513.42+75+4704.07+82+1952.95+1546.74+464</f>
        <v>11338.18</v>
      </c>
      <c r="H360" s="18">
        <f>693.16+282.36</f>
        <v>975.52</v>
      </c>
      <c r="I360" s="18">
        <f>1831.85+26997.66+58.69</f>
        <v>28888.199999999997</v>
      </c>
      <c r="J360" s="18"/>
      <c r="K360" s="18">
        <v>177</v>
      </c>
      <c r="L360" s="19">
        <f>SUM(F360:K360)</f>
        <v>77352.929999999993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142695.93</v>
      </c>
      <c r="G362" s="47">
        <f t="shared" si="22"/>
        <v>40794.43</v>
      </c>
      <c r="H362" s="47">
        <f t="shared" si="22"/>
        <v>5524.99</v>
      </c>
      <c r="I362" s="47">
        <f t="shared" si="22"/>
        <v>118554.09999999999</v>
      </c>
      <c r="J362" s="47">
        <f t="shared" si="22"/>
        <v>0</v>
      </c>
      <c r="K362" s="47">
        <f t="shared" si="22"/>
        <v>708</v>
      </c>
      <c r="L362" s="47">
        <f t="shared" si="22"/>
        <v>308277.45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48652.72+36413.93</f>
        <v>85066.65</v>
      </c>
      <c r="G367" s="18"/>
      <c r="H367" s="18">
        <v>26997.66</v>
      </c>
      <c r="I367" s="56">
        <f>SUM(F367:H367)</f>
        <v>112064.31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3291.74+1131.45+176.06</f>
        <v>4599.25</v>
      </c>
      <c r="G368" s="63"/>
      <c r="H368" s="63">
        <f>1831.85+58.69</f>
        <v>1890.54</v>
      </c>
      <c r="I368" s="56">
        <f>SUM(F368:H368)</f>
        <v>6489.79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89665.9</v>
      </c>
      <c r="G369" s="47">
        <f>SUM(G367:G368)</f>
        <v>0</v>
      </c>
      <c r="H369" s="47">
        <f>SUM(H367:H368)</f>
        <v>28888.2</v>
      </c>
      <c r="I369" s="47">
        <f>SUM(I367:I368)</f>
        <v>118554.09999999999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706907</v>
      </c>
      <c r="H388" s="18">
        <f>7.1+50.07</f>
        <v>57.17</v>
      </c>
      <c r="I388" s="18"/>
      <c r="J388" s="24" t="s">
        <v>289</v>
      </c>
      <c r="K388" s="24" t="s">
        <v>289</v>
      </c>
      <c r="L388" s="56">
        <f t="shared" si="25"/>
        <v>706964.17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706907</v>
      </c>
      <c r="H393" s="139">
        <f>SUM(H387:H392)</f>
        <v>57.17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706964.17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>
        <v>11.01</v>
      </c>
      <c r="I396" s="18"/>
      <c r="J396" s="24" t="s">
        <v>289</v>
      </c>
      <c r="K396" s="24" t="s">
        <v>289</v>
      </c>
      <c r="L396" s="56">
        <f t="shared" si="26"/>
        <v>50011.01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22.08</v>
      </c>
      <c r="I397" s="18"/>
      <c r="J397" s="24" t="s">
        <v>289</v>
      </c>
      <c r="K397" s="24" t="s">
        <v>289</v>
      </c>
      <c r="L397" s="56">
        <f t="shared" si="26"/>
        <v>50022.080000000002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50000</v>
      </c>
      <c r="H399" s="18">
        <v>7.5</v>
      </c>
      <c r="I399" s="18"/>
      <c r="J399" s="24" t="s">
        <v>289</v>
      </c>
      <c r="K399" s="24" t="s">
        <v>289</v>
      </c>
      <c r="L399" s="56">
        <f t="shared" si="26"/>
        <v>50007.5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25000</v>
      </c>
      <c r="H400" s="18">
        <v>2.38</v>
      </c>
      <c r="I400" s="18"/>
      <c r="J400" s="24" t="s">
        <v>289</v>
      </c>
      <c r="K400" s="24" t="s">
        <v>289</v>
      </c>
      <c r="L400" s="56">
        <f t="shared" si="26"/>
        <v>25002.38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175000</v>
      </c>
      <c r="H401" s="47">
        <f>SUM(H395:H400)</f>
        <v>42.97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175042.97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881907</v>
      </c>
      <c r="H408" s="47">
        <f>H393+H401+H407</f>
        <v>100.14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882007.14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>
        <f>344.01+743535.51+32372.22</f>
        <v>776251.74</v>
      </c>
      <c r="L414" s="56">
        <f t="shared" si="27"/>
        <v>776251.74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776251.74</v>
      </c>
      <c r="L419" s="47">
        <f t="shared" si="28"/>
        <v>776251.74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776251.74</v>
      </c>
      <c r="L434" s="47">
        <f t="shared" si="32"/>
        <v>776251.74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f>71182.72+487339.82</f>
        <v>558522.54</v>
      </c>
      <c r="G439" s="18">
        <f>133669.68+244798.5+98554.91+25002.38</f>
        <v>502025.47</v>
      </c>
      <c r="H439" s="18"/>
      <c r="I439" s="56">
        <f t="shared" ref="I439:I445" si="33">SUM(F439:H439)</f>
        <v>1060548.01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558522.54</v>
      </c>
      <c r="G446" s="13">
        <f>SUM(G439:G445)</f>
        <v>502025.47</v>
      </c>
      <c r="H446" s="13">
        <f>SUM(H439:H445)</f>
        <v>0</v>
      </c>
      <c r="I446" s="13">
        <f>SUM(I439:I445)</f>
        <v>1060548.01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558522.54</v>
      </c>
      <c r="G459" s="18">
        <v>502025.47</v>
      </c>
      <c r="H459" s="18"/>
      <c r="I459" s="56">
        <f t="shared" si="34"/>
        <v>1060548.01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558522.54</v>
      </c>
      <c r="G460" s="83">
        <f>SUM(G454:G459)</f>
        <v>502025.47</v>
      </c>
      <c r="H460" s="83">
        <f>SUM(H454:H459)</f>
        <v>0</v>
      </c>
      <c r="I460" s="83">
        <f>SUM(I454:I459)</f>
        <v>1060548.01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558522.54</v>
      </c>
      <c r="G461" s="42">
        <f>G452+G460</f>
        <v>502025.47</v>
      </c>
      <c r="H461" s="42">
        <f>H452+H460</f>
        <v>0</v>
      </c>
      <c r="I461" s="42">
        <f>I452+I460</f>
        <v>1060548.01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198890</v>
      </c>
      <c r="G465" s="18">
        <v>29945.25</v>
      </c>
      <c r="H465" s="18">
        <v>10164.15</v>
      </c>
      <c r="I465" s="18"/>
      <c r="J465" s="18">
        <v>954792.61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16445547.15</v>
      </c>
      <c r="G468" s="18">
        <v>290319.23</v>
      </c>
      <c r="H468" s="18">
        <v>487323.39</v>
      </c>
      <c r="I468" s="18"/>
      <c r="J468" s="18">
        <v>882007.14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16445547.15</v>
      </c>
      <c r="G470" s="53">
        <f>SUM(G468:G469)</f>
        <v>290319.23</v>
      </c>
      <c r="H470" s="53">
        <f>SUM(H468:H469)</f>
        <v>487323.39</v>
      </c>
      <c r="I470" s="53">
        <f>SUM(I468:I469)</f>
        <v>0</v>
      </c>
      <c r="J470" s="53">
        <f>SUM(J468:J469)</f>
        <v>882007.14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15922384.380000001</v>
      </c>
      <c r="G472" s="18">
        <v>308277.45</v>
      </c>
      <c r="H472" s="18">
        <v>480651.32</v>
      </c>
      <c r="I472" s="18"/>
      <c r="J472" s="18">
        <v>776251.74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15922384.380000001</v>
      </c>
      <c r="G474" s="53">
        <f>SUM(G472:G473)</f>
        <v>308277.45</v>
      </c>
      <c r="H474" s="53">
        <f>SUM(H472:H473)</f>
        <v>480651.32</v>
      </c>
      <c r="I474" s="53">
        <f>SUM(I472:I473)</f>
        <v>0</v>
      </c>
      <c r="J474" s="53">
        <f>SUM(J472:J473)</f>
        <v>776251.74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722052.76999999955</v>
      </c>
      <c r="G476" s="53">
        <f>(G465+G470)- G474</f>
        <v>11987.02999999997</v>
      </c>
      <c r="H476" s="53">
        <f>(H465+H470)- H474</f>
        <v>16836.22000000003</v>
      </c>
      <c r="I476" s="53">
        <f>(I465+I470)- I474</f>
        <v>0</v>
      </c>
      <c r="J476" s="53">
        <f>(J465+J470)- J474</f>
        <v>1060548.01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1530878.72</v>
      </c>
      <c r="G521" s="18">
        <v>507496.55</v>
      </c>
      <c r="H521" s="18">
        <v>490696.3</v>
      </c>
      <c r="I521" s="18">
        <v>11717.1</v>
      </c>
      <c r="J521" s="18">
        <v>7768.33</v>
      </c>
      <c r="K521" s="18"/>
      <c r="L521" s="88">
        <f>SUM(F521:K521)</f>
        <v>2548557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521404.46</v>
      </c>
      <c r="G523" s="18">
        <v>146728.53</v>
      </c>
      <c r="H523" s="18">
        <v>162190.01</v>
      </c>
      <c r="I523" s="18">
        <v>4791.7299999999996</v>
      </c>
      <c r="J523" s="18">
        <v>2849.02</v>
      </c>
      <c r="K523" s="18"/>
      <c r="L523" s="88">
        <f>SUM(F523:K523)</f>
        <v>837963.75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2052283.18</v>
      </c>
      <c r="G524" s="108">
        <f t="shared" ref="G524:L524" si="36">SUM(G521:G523)</f>
        <v>654225.07999999996</v>
      </c>
      <c r="H524" s="108">
        <f t="shared" si="36"/>
        <v>652886.31000000006</v>
      </c>
      <c r="I524" s="108">
        <f t="shared" si="36"/>
        <v>16508.830000000002</v>
      </c>
      <c r="J524" s="108">
        <f t="shared" si="36"/>
        <v>10617.35</v>
      </c>
      <c r="K524" s="108">
        <f t="shared" si="36"/>
        <v>0</v>
      </c>
      <c r="L524" s="89">
        <f t="shared" si="36"/>
        <v>3386520.75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427807.17</v>
      </c>
      <c r="G526" s="18">
        <v>208788.52</v>
      </c>
      <c r="H526" s="18">
        <v>589.80999999999995</v>
      </c>
      <c r="I526" s="18">
        <v>3741.23</v>
      </c>
      <c r="J526" s="18"/>
      <c r="K526" s="18"/>
      <c r="L526" s="88">
        <f>SUM(F526:K526)</f>
        <v>640926.73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127786.11</v>
      </c>
      <c r="G528" s="18">
        <v>61160.41</v>
      </c>
      <c r="H528" s="18">
        <v>2222.41</v>
      </c>
      <c r="I528" s="18">
        <v>2407.1</v>
      </c>
      <c r="J528" s="18"/>
      <c r="K528" s="18">
        <v>289</v>
      </c>
      <c r="L528" s="88">
        <f>SUM(F528:K528)</f>
        <v>193865.03000000003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555593.28</v>
      </c>
      <c r="G529" s="89">
        <f t="shared" ref="G529:L529" si="37">SUM(G526:G528)</f>
        <v>269948.93</v>
      </c>
      <c r="H529" s="89">
        <f t="shared" si="37"/>
        <v>2812.22</v>
      </c>
      <c r="I529" s="89">
        <f t="shared" si="37"/>
        <v>6148.33</v>
      </c>
      <c r="J529" s="89">
        <f t="shared" si="37"/>
        <v>0</v>
      </c>
      <c r="K529" s="89">
        <f t="shared" si="37"/>
        <v>289</v>
      </c>
      <c r="L529" s="89">
        <f t="shared" si="37"/>
        <v>834791.76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91654.58</v>
      </c>
      <c r="G531" s="18">
        <v>42403.57</v>
      </c>
      <c r="H531" s="18">
        <v>3094.95</v>
      </c>
      <c r="I531" s="18">
        <v>600.51</v>
      </c>
      <c r="J531" s="18"/>
      <c r="K531" s="18">
        <v>1663.42</v>
      </c>
      <c r="L531" s="88">
        <f>SUM(F531:K531)</f>
        <v>139417.03000000003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30501.53</v>
      </c>
      <c r="G533" s="18">
        <v>14134.52</v>
      </c>
      <c r="H533" s="18">
        <v>1031.6500000000001</v>
      </c>
      <c r="I533" s="18">
        <v>200.17</v>
      </c>
      <c r="J533" s="18"/>
      <c r="K533" s="18">
        <v>554.47</v>
      </c>
      <c r="L533" s="88">
        <f>SUM(F533:K533)</f>
        <v>46422.340000000004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122156.11</v>
      </c>
      <c r="G534" s="89">
        <f t="shared" ref="G534:L534" si="38">SUM(G531:G533)</f>
        <v>56538.09</v>
      </c>
      <c r="H534" s="89">
        <f t="shared" si="38"/>
        <v>4126.6000000000004</v>
      </c>
      <c r="I534" s="89">
        <f t="shared" si="38"/>
        <v>800.68</v>
      </c>
      <c r="J534" s="89">
        <f t="shared" si="38"/>
        <v>0</v>
      </c>
      <c r="K534" s="89">
        <f t="shared" si="38"/>
        <v>2217.8900000000003</v>
      </c>
      <c r="L534" s="89">
        <f t="shared" si="38"/>
        <v>185839.37000000002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112592</v>
      </c>
      <c r="I541" s="18"/>
      <c r="J541" s="18"/>
      <c r="K541" s="18"/>
      <c r="L541" s="88">
        <f>SUM(F541:K541)</f>
        <v>112592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37531</v>
      </c>
      <c r="I543" s="18"/>
      <c r="J543" s="18"/>
      <c r="K543" s="18"/>
      <c r="L543" s="88">
        <f>SUM(F543:K543)</f>
        <v>37531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150123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150123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2730032.57</v>
      </c>
      <c r="G545" s="89">
        <f t="shared" ref="G545:L545" si="41">G524+G529+G534+G539+G544</f>
        <v>980712.1</v>
      </c>
      <c r="H545" s="89">
        <f t="shared" si="41"/>
        <v>809948.13</v>
      </c>
      <c r="I545" s="89">
        <f t="shared" si="41"/>
        <v>23457.840000000004</v>
      </c>
      <c r="J545" s="89">
        <f t="shared" si="41"/>
        <v>10617.35</v>
      </c>
      <c r="K545" s="89">
        <f t="shared" si="41"/>
        <v>2506.8900000000003</v>
      </c>
      <c r="L545" s="89">
        <f t="shared" si="41"/>
        <v>4557274.88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2548557</v>
      </c>
      <c r="G549" s="87">
        <f>L526</f>
        <v>640926.73</v>
      </c>
      <c r="H549" s="87">
        <f>L531</f>
        <v>139417.03000000003</v>
      </c>
      <c r="I549" s="87">
        <f>L536</f>
        <v>0</v>
      </c>
      <c r="J549" s="87">
        <f>L541</f>
        <v>112592</v>
      </c>
      <c r="K549" s="87">
        <f>SUM(F549:J549)</f>
        <v>3441492.76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837963.75</v>
      </c>
      <c r="G551" s="87">
        <f>L528</f>
        <v>193865.03000000003</v>
      </c>
      <c r="H551" s="87">
        <f>L533</f>
        <v>46422.340000000004</v>
      </c>
      <c r="I551" s="87">
        <f>L538</f>
        <v>0</v>
      </c>
      <c r="J551" s="87">
        <f>L543</f>
        <v>37531</v>
      </c>
      <c r="K551" s="87">
        <f>SUM(F551:J551)</f>
        <v>1115782.1200000001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3386520.75</v>
      </c>
      <c r="G552" s="89">
        <f t="shared" si="42"/>
        <v>834791.76</v>
      </c>
      <c r="H552" s="89">
        <f t="shared" si="42"/>
        <v>185839.37000000002</v>
      </c>
      <c r="I552" s="89">
        <f t="shared" si="42"/>
        <v>0</v>
      </c>
      <c r="J552" s="89">
        <f t="shared" si="42"/>
        <v>150123</v>
      </c>
      <c r="K552" s="89">
        <f t="shared" si="42"/>
        <v>4557274.88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15335</v>
      </c>
      <c r="G579" s="18"/>
      <c r="H579" s="18">
        <v>32460.5</v>
      </c>
      <c r="I579" s="87">
        <f t="shared" si="47"/>
        <v>47795.5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57924.85</v>
      </c>
      <c r="G580" s="18"/>
      <c r="H580" s="18"/>
      <c r="I580" s="87">
        <f t="shared" si="47"/>
        <v>57924.85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108205.74</v>
      </c>
      <c r="G582" s="18"/>
      <c r="H582" s="18">
        <v>122154.49</v>
      </c>
      <c r="I582" s="87">
        <f t="shared" si="47"/>
        <v>230360.23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116230</v>
      </c>
      <c r="I584" s="87">
        <f t="shared" si="47"/>
        <v>116230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165900+1681.34+10950.42</f>
        <v>178531.76</v>
      </c>
      <c r="I591" s="18"/>
      <c r="J591" s="18">
        <f>55300+2653.35</f>
        <v>57953.35</v>
      </c>
      <c r="K591" s="104">
        <f t="shared" ref="K591:K597" si="48">SUM(H591:J591)</f>
        <v>236485.11000000002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112591.51</v>
      </c>
      <c r="I592" s="18"/>
      <c r="J592" s="18">
        <v>37530.51</v>
      </c>
      <c r="K592" s="104">
        <f t="shared" si="48"/>
        <v>150122.01999999999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37929</v>
      </c>
      <c r="K593" s="104">
        <f t="shared" si="48"/>
        <v>37929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2989.72</v>
      </c>
      <c r="I594" s="18"/>
      <c r="J594" s="18">
        <v>21716</v>
      </c>
      <c r="K594" s="104">
        <f t="shared" si="48"/>
        <v>24705.72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7205.38</v>
      </c>
      <c r="I595" s="18"/>
      <c r="J595" s="18">
        <v>5750.94</v>
      </c>
      <c r="K595" s="104">
        <f t="shared" si="48"/>
        <v>12956.32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301318.37</v>
      </c>
      <c r="I598" s="108">
        <f>SUM(I591:I597)</f>
        <v>0</v>
      </c>
      <c r="J598" s="108">
        <f>SUM(J591:J597)</f>
        <v>160879.79999999999</v>
      </c>
      <c r="K598" s="108">
        <f>SUM(K591:K597)</f>
        <v>462198.17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147242.13</v>
      </c>
      <c r="I604" s="18"/>
      <c r="J604" s="18">
        <v>58979.46</v>
      </c>
      <c r="K604" s="104">
        <f>SUM(H604:J604)</f>
        <v>206221.59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147242.13</v>
      </c>
      <c r="I605" s="108">
        <f>SUM(I602:I604)</f>
        <v>0</v>
      </c>
      <c r="J605" s="108">
        <f>SUM(J602:J604)</f>
        <v>58979.46</v>
      </c>
      <c r="K605" s="108">
        <f>SUM(K602:K604)</f>
        <v>206221.59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1579325.1300000001</v>
      </c>
      <c r="H617" s="109">
        <f>SUM(F52)</f>
        <v>1579325.13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28134.7</v>
      </c>
      <c r="H618" s="109">
        <f>SUM(G52)</f>
        <v>28134.7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95264.03</v>
      </c>
      <c r="H619" s="109">
        <f>SUM(H52)</f>
        <v>95264.03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1060548.01</v>
      </c>
      <c r="H621" s="109">
        <f>SUM(J52)</f>
        <v>1060548.01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722052.77</v>
      </c>
      <c r="H622" s="109">
        <f>F476</f>
        <v>722052.76999999955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11987.03</v>
      </c>
      <c r="H623" s="109">
        <f>G476</f>
        <v>11987.02999999997</v>
      </c>
      <c r="I623" s="121" t="s">
        <v>102</v>
      </c>
      <c r="J623" s="109">
        <f t="shared" si="50"/>
        <v>3.092281986027956E-11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16836.22</v>
      </c>
      <c r="H624" s="109">
        <f>H476</f>
        <v>16836.22000000003</v>
      </c>
      <c r="I624" s="121" t="s">
        <v>103</v>
      </c>
      <c r="J624" s="109">
        <f t="shared" si="50"/>
        <v>-2.9103830456733704E-11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1060548.01</v>
      </c>
      <c r="H626" s="109">
        <f>J476</f>
        <v>1060548.01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16445547.15</v>
      </c>
      <c r="H627" s="104">
        <f>SUM(F468)</f>
        <v>16445547.15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290319.23000000004</v>
      </c>
      <c r="H628" s="104">
        <f>SUM(G468)</f>
        <v>290319.23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487323.39</v>
      </c>
      <c r="H629" s="104">
        <f>SUM(H468)</f>
        <v>487323.39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882007.14</v>
      </c>
      <c r="H631" s="104">
        <f>SUM(J468)</f>
        <v>882007.14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15922384.379999999</v>
      </c>
      <c r="H632" s="104">
        <f>SUM(F472)</f>
        <v>15922384.380000001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480651.31999999995</v>
      </c>
      <c r="H633" s="104">
        <f>SUM(H472)</f>
        <v>480651.32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118554.09999999999</v>
      </c>
      <c r="H634" s="104">
        <f>I369</f>
        <v>118554.09999999999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308277.45</v>
      </c>
      <c r="H635" s="104">
        <f>SUM(G472)</f>
        <v>308277.45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882007.14</v>
      </c>
      <c r="H637" s="164">
        <f>SUM(J468)</f>
        <v>882007.14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776251.74</v>
      </c>
      <c r="H638" s="164">
        <f>SUM(J472)</f>
        <v>776251.74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558522.54</v>
      </c>
      <c r="H639" s="104">
        <f>SUM(F461)</f>
        <v>558522.54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502025.47</v>
      </c>
      <c r="H640" s="104">
        <f>SUM(G461)</f>
        <v>502025.47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1060548.01</v>
      </c>
      <c r="H642" s="104">
        <f>SUM(I461)</f>
        <v>1060548.01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100.14</v>
      </c>
      <c r="H644" s="104">
        <f>H408</f>
        <v>100.14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881907</v>
      </c>
      <c r="H645" s="104">
        <f>G408</f>
        <v>881907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882007.14</v>
      </c>
      <c r="H646" s="104">
        <f>L408</f>
        <v>882007.14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462198.17</v>
      </c>
      <c r="H647" s="104">
        <f>L208+L226+L244</f>
        <v>462198.17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206221.59</v>
      </c>
      <c r="H648" s="104">
        <f>(J257+J338)-(J255+J336)</f>
        <v>206221.59000000003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301318.37</v>
      </c>
      <c r="H649" s="104">
        <f>H598</f>
        <v>301318.37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160879.79999999999</v>
      </c>
      <c r="H651" s="104">
        <f>J598</f>
        <v>160879.79999999999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168.9</v>
      </c>
      <c r="H652" s="104">
        <f>K263+K345</f>
        <v>168.9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881907</v>
      </c>
      <c r="H655" s="104">
        <f>K266+K347</f>
        <v>881907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10674364.489999998</v>
      </c>
      <c r="G660" s="19">
        <f>(L229+L309+L359)</f>
        <v>0</v>
      </c>
      <c r="H660" s="19">
        <f>(L247+L328+L360)</f>
        <v>4392852.17</v>
      </c>
      <c r="I660" s="19">
        <f>SUM(F660:H660)</f>
        <v>15067216.659999998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112652.55397396728</v>
      </c>
      <c r="G661" s="19">
        <f>(L359/IF(SUM(L358:L360)=0,1,SUM(L358:L360))*(SUM(G97:G110)))</f>
        <v>0</v>
      </c>
      <c r="H661" s="19">
        <f>(L360/IF(SUM(L358:L360)=0,1,SUM(L358:L360))*(SUM(G97:G110)))</f>
        <v>37735.296026032716</v>
      </c>
      <c r="I661" s="19">
        <f>SUM(F661:H661)</f>
        <v>150387.85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301554.49</v>
      </c>
      <c r="G662" s="19">
        <f>(L226+L306)-(J226+J306)</f>
        <v>0</v>
      </c>
      <c r="H662" s="19">
        <f>(L244+L325)-(J244+J325)</f>
        <v>161156.97999999998</v>
      </c>
      <c r="I662" s="19">
        <f>SUM(F662:H662)</f>
        <v>462711.47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328707.72000000003</v>
      </c>
      <c r="G663" s="199">
        <f>SUM(G575:G587)+SUM(I602:I604)+L612</f>
        <v>0</v>
      </c>
      <c r="H663" s="199">
        <f>SUM(H575:H587)+SUM(J602:J604)+L613</f>
        <v>329824.45</v>
      </c>
      <c r="I663" s="19">
        <f>SUM(F663:H663)</f>
        <v>658532.17000000004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9931449.7260260303</v>
      </c>
      <c r="G664" s="19">
        <f>G660-SUM(G661:G663)</f>
        <v>0</v>
      </c>
      <c r="H664" s="19">
        <f>H660-SUM(H661:H663)</f>
        <v>3864135.4439739673</v>
      </c>
      <c r="I664" s="19">
        <f>I660-SUM(I661:I663)</f>
        <v>13795585.169999998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709.68</v>
      </c>
      <c r="G665" s="248"/>
      <c r="H665" s="248">
        <v>236.13</v>
      </c>
      <c r="I665" s="19">
        <f>SUM(F665:H665)</f>
        <v>945.81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13994.26</v>
      </c>
      <c r="G667" s="19" t="e">
        <f>ROUND(G664/G665,2)</f>
        <v>#DIV/0!</v>
      </c>
      <c r="H667" s="19">
        <f>ROUND(H664/H665,2)</f>
        <v>16364.44</v>
      </c>
      <c r="I667" s="19">
        <f>ROUND(I664/I665,2)</f>
        <v>14586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-16.55</v>
      </c>
      <c r="I670" s="19">
        <f>SUM(F670:H670)</f>
        <v>-16.55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13994.26</v>
      </c>
      <c r="G672" s="19" t="e">
        <f>ROUND((G664+G669)/(G665+G670),2)</f>
        <v>#DIV/0!</v>
      </c>
      <c r="H672" s="19">
        <f>ROUND((H664+H669)/(H665+H670),2)</f>
        <v>17597.849999999999</v>
      </c>
      <c r="I672" s="19">
        <f>ROUND((I664+I669)/(I665+I670),2)</f>
        <v>14845.78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5"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Newmarket SD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3814626.82</v>
      </c>
      <c r="C9" s="229">
        <f>'DOE25'!G197+'DOE25'!G215+'DOE25'!G233+'DOE25'!G276+'DOE25'!G295+'DOE25'!G314</f>
        <v>1658621.1800000002</v>
      </c>
    </row>
    <row r="10" spans="1:3" x14ac:dyDescent="0.2">
      <c r="A10" t="s">
        <v>779</v>
      </c>
      <c r="B10" s="240">
        <v>3769772.7</v>
      </c>
      <c r="C10" s="240">
        <v>1652135.27</v>
      </c>
    </row>
    <row r="11" spans="1:3" x14ac:dyDescent="0.2">
      <c r="A11" t="s">
        <v>780</v>
      </c>
      <c r="B11" s="240">
        <v>31825.08</v>
      </c>
      <c r="C11" s="240">
        <v>4601.91</v>
      </c>
    </row>
    <row r="12" spans="1:3" x14ac:dyDescent="0.2">
      <c r="A12" t="s">
        <v>781</v>
      </c>
      <c r="B12" s="240">
        <v>13029.04</v>
      </c>
      <c r="C12" s="240">
        <v>1884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3814626.8200000003</v>
      </c>
      <c r="C13" s="231">
        <f>SUM(C10:C12)</f>
        <v>1658621.18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2052283.1799999997</v>
      </c>
      <c r="C18" s="229">
        <f>'DOE25'!G198+'DOE25'!G216+'DOE25'!G234+'DOE25'!G277+'DOE25'!G296+'DOE25'!G315</f>
        <v>654225.07999999996</v>
      </c>
    </row>
    <row r="19" spans="1:3" x14ac:dyDescent="0.2">
      <c r="A19" t="s">
        <v>779</v>
      </c>
      <c r="B19" s="240">
        <v>1181512.99</v>
      </c>
      <c r="C19" s="240">
        <v>418660.98</v>
      </c>
    </row>
    <row r="20" spans="1:3" x14ac:dyDescent="0.2">
      <c r="A20" t="s">
        <v>780</v>
      </c>
      <c r="B20" s="240">
        <v>844885.19</v>
      </c>
      <c r="C20" s="240">
        <v>233583.9</v>
      </c>
    </row>
    <row r="21" spans="1:3" x14ac:dyDescent="0.2">
      <c r="A21" t="s">
        <v>781</v>
      </c>
      <c r="B21" s="240">
        <v>25885</v>
      </c>
      <c r="C21" s="240">
        <v>1980.2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2052283.18</v>
      </c>
      <c r="C22" s="231">
        <f>SUM(C19:C21)</f>
        <v>654225.07999999996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387885.7300000001</v>
      </c>
      <c r="C36" s="235">
        <f>'DOE25'!G200+'DOE25'!G218+'DOE25'!G236+'DOE25'!G279+'DOE25'!G298+'DOE25'!G317</f>
        <v>134167.54</v>
      </c>
    </row>
    <row r="37" spans="1:3" x14ac:dyDescent="0.2">
      <c r="A37" t="s">
        <v>779</v>
      </c>
      <c r="B37" s="240">
        <v>224599.69</v>
      </c>
      <c r="C37" s="240">
        <v>110402.88</v>
      </c>
    </row>
    <row r="38" spans="1:3" x14ac:dyDescent="0.2">
      <c r="A38" t="s">
        <v>780</v>
      </c>
      <c r="B38" s="240">
        <v>81133.5</v>
      </c>
      <c r="C38" s="240">
        <v>10096.709999999999</v>
      </c>
    </row>
    <row r="39" spans="1:3" x14ac:dyDescent="0.2">
      <c r="A39" t="s">
        <v>781</v>
      </c>
      <c r="B39" s="240">
        <v>82152.539999999994</v>
      </c>
      <c r="C39" s="240">
        <v>13667.95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387885.73</v>
      </c>
      <c r="C40" s="231">
        <f>SUM(C37:C39)</f>
        <v>134167.54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Newmarket SD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9243734.0999999996</v>
      </c>
      <c r="D5" s="20">
        <f>SUM('DOE25'!L197:L200)+SUM('DOE25'!L215:L218)+SUM('DOE25'!L233:L236)-F5-G5</f>
        <v>9208934.0399999991</v>
      </c>
      <c r="E5" s="243"/>
      <c r="F5" s="255">
        <f>SUM('DOE25'!J197:J200)+SUM('DOE25'!J215:J218)+SUM('DOE25'!J233:J236)</f>
        <v>19823.059999999998</v>
      </c>
      <c r="G5" s="53">
        <f>SUM('DOE25'!K197:K200)+SUM('DOE25'!K215:K218)+SUM('DOE25'!K233:K236)</f>
        <v>14977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1064703.8700000001</v>
      </c>
      <c r="D6" s="20">
        <f>'DOE25'!L202+'DOE25'!L220+'DOE25'!L238-F6-G6</f>
        <v>1064363.8700000001</v>
      </c>
      <c r="E6" s="243"/>
      <c r="F6" s="255">
        <f>'DOE25'!J202+'DOE25'!J220+'DOE25'!J238</f>
        <v>0</v>
      </c>
      <c r="G6" s="53">
        <f>'DOE25'!K202+'DOE25'!K220+'DOE25'!K238</f>
        <v>340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803170.04</v>
      </c>
      <c r="D7" s="20">
        <f>'DOE25'!L203+'DOE25'!L221+'DOE25'!L239-F7-G7</f>
        <v>643404.16</v>
      </c>
      <c r="E7" s="243"/>
      <c r="F7" s="255">
        <f>'DOE25'!J203+'DOE25'!J221+'DOE25'!J239</f>
        <v>158427.88</v>
      </c>
      <c r="G7" s="53">
        <f>'DOE25'!K203+'DOE25'!K221+'DOE25'!K239</f>
        <v>1338</v>
      </c>
      <c r="H7" s="259"/>
    </row>
    <row r="8" spans="1:9" x14ac:dyDescent="0.2">
      <c r="A8" s="32">
        <v>2300</v>
      </c>
      <c r="B8" t="s">
        <v>802</v>
      </c>
      <c r="C8" s="245">
        <f t="shared" si="0"/>
        <v>228223.79000000004</v>
      </c>
      <c r="D8" s="243"/>
      <c r="E8" s="20">
        <f>'DOE25'!L204+'DOE25'!L222+'DOE25'!L240-F8-G8-D9-D11</f>
        <v>125778.54000000004</v>
      </c>
      <c r="F8" s="255">
        <f>'DOE25'!J204+'DOE25'!J222+'DOE25'!J240</f>
        <v>4201.46</v>
      </c>
      <c r="G8" s="53">
        <f>'DOE25'!K204+'DOE25'!K222+'DOE25'!K240</f>
        <v>98243.79</v>
      </c>
      <c r="H8" s="259"/>
    </row>
    <row r="9" spans="1:9" x14ac:dyDescent="0.2">
      <c r="A9" s="32">
        <v>2310</v>
      </c>
      <c r="B9" t="s">
        <v>818</v>
      </c>
      <c r="C9" s="245">
        <f t="shared" si="0"/>
        <v>149468.22</v>
      </c>
      <c r="D9" s="244">
        <v>149468.22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14000</v>
      </c>
      <c r="D10" s="243"/>
      <c r="E10" s="244">
        <v>14000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232254.24</v>
      </c>
      <c r="D11" s="244">
        <v>232254.24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764484.16999999993</v>
      </c>
      <c r="D12" s="20">
        <f>'DOE25'!L205+'DOE25'!L223+'DOE25'!L241-F12-G12</f>
        <v>750818.45</v>
      </c>
      <c r="E12" s="243"/>
      <c r="F12" s="255">
        <f>'DOE25'!J205+'DOE25'!J223+'DOE25'!J241</f>
        <v>1470</v>
      </c>
      <c r="G12" s="53">
        <f>'DOE25'!K205+'DOE25'!K223+'DOE25'!K241</f>
        <v>12195.720000000001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235082.63</v>
      </c>
      <c r="D13" s="243"/>
      <c r="E13" s="20">
        <f>'DOE25'!L206+'DOE25'!L224+'DOE25'!L242-F13-G13</f>
        <v>235082.63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1093600.04</v>
      </c>
      <c r="D14" s="20">
        <f>'DOE25'!L207+'DOE25'!L225+'DOE25'!L243-F14-G14</f>
        <v>1093600.04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462198.17</v>
      </c>
      <c r="D15" s="20">
        <f>'DOE25'!L208+'DOE25'!L226+'DOE25'!L244-F15-G15</f>
        <v>462198.17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1368.6200000000001</v>
      </c>
      <c r="D16" s="243"/>
      <c r="E16" s="20">
        <f>'DOE25'!L209+'DOE25'!L227+'DOE25'!L245-F16-G16</f>
        <v>1368.6200000000001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762020.59</v>
      </c>
      <c r="D22" s="243"/>
      <c r="E22" s="243"/>
      <c r="F22" s="255">
        <f>'DOE25'!L255+'DOE25'!L336</f>
        <v>762020.59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196213.14</v>
      </c>
      <c r="D29" s="20">
        <f>'DOE25'!L358+'DOE25'!L359+'DOE25'!L360-'DOE25'!I367-F29-G29</f>
        <v>195505.14</v>
      </c>
      <c r="E29" s="243"/>
      <c r="F29" s="255">
        <f>'DOE25'!J358+'DOE25'!J359+'DOE25'!J360</f>
        <v>0</v>
      </c>
      <c r="G29" s="53">
        <f>'DOE25'!K358+'DOE25'!K359+'DOE25'!K360</f>
        <v>708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480651.31999999995</v>
      </c>
      <c r="D31" s="20">
        <f>'DOE25'!L290+'DOE25'!L309+'DOE25'!L328+'DOE25'!L333+'DOE25'!L334+'DOE25'!L335-F31-G31</f>
        <v>456772.12999999995</v>
      </c>
      <c r="E31" s="243"/>
      <c r="F31" s="255">
        <f>'DOE25'!J290+'DOE25'!J309+'DOE25'!J328+'DOE25'!J333+'DOE25'!J334+'DOE25'!J335</f>
        <v>22299.190000000002</v>
      </c>
      <c r="G31" s="53">
        <f>'DOE25'!K290+'DOE25'!K309+'DOE25'!K328+'DOE25'!K333+'DOE25'!K334+'DOE25'!K335</f>
        <v>1580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14257318.460000001</v>
      </c>
      <c r="E33" s="246">
        <f>SUM(E5:E31)</f>
        <v>376229.79000000004</v>
      </c>
      <c r="F33" s="246">
        <f>SUM(F5:F31)</f>
        <v>968242.17999999993</v>
      </c>
      <c r="G33" s="246">
        <f>SUM(G5:G31)</f>
        <v>129382.51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376229.79000000004</v>
      </c>
      <c r="E35" s="249"/>
    </row>
    <row r="36" spans="2:8" ht="12" thickTop="1" x14ac:dyDescent="0.2">
      <c r="B36" t="s">
        <v>815</v>
      </c>
      <c r="D36" s="20">
        <f>D33</f>
        <v>14257318.460000001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50" activePane="bottomLeft" state="frozen"/>
      <selection activeCell="F46" sqref="F46"/>
      <selection pane="bottomLeft" activeCell="D186" sqref="D18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Newmarket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1529359.25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1060548.01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10262.299999999999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25737.15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39703.58</v>
      </c>
      <c r="D13" s="95">
        <f>'DOE25'!G14</f>
        <v>0</v>
      </c>
      <c r="E13" s="95">
        <f>'DOE25'!H14</f>
        <v>95264.03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6032.91</v>
      </c>
      <c r="E15" s="95" t="str">
        <f>'DOE25'!H16</f>
        <v xml:space="preserve"> 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-3635.36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1579325.1300000001</v>
      </c>
      <c r="D18" s="41">
        <f>SUM(D8:D17)</f>
        <v>28134.7</v>
      </c>
      <c r="E18" s="41">
        <f>SUM(E8:E17)</f>
        <v>95264.03</v>
      </c>
      <c r="F18" s="41">
        <f>SUM(F8:F17)</f>
        <v>0</v>
      </c>
      <c r="G18" s="41">
        <f>SUM(G8:G17)</f>
        <v>1060548.01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-77739.259999999995</v>
      </c>
      <c r="D21" s="95">
        <f>'DOE25'!G22</f>
        <v>16147.67</v>
      </c>
      <c r="E21" s="95">
        <f>'DOE25'!H22</f>
        <v>78427.81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453118.95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481892.67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857272.36</v>
      </c>
      <c r="D31" s="41">
        <f>SUM(D21:D30)</f>
        <v>16147.67</v>
      </c>
      <c r="E31" s="41">
        <f>SUM(E21:E30)</f>
        <v>78427.81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1060548.01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11987.03</v>
      </c>
      <c r="E48" s="95">
        <f>'DOE25'!H49</f>
        <v>16836.22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622052.77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722052.77</v>
      </c>
      <c r="D50" s="41">
        <f>SUM(D34:D49)</f>
        <v>11987.03</v>
      </c>
      <c r="E50" s="41">
        <f>SUM(E34:E49)</f>
        <v>16836.22</v>
      </c>
      <c r="F50" s="41">
        <f>SUM(F34:F49)</f>
        <v>0</v>
      </c>
      <c r="G50" s="41">
        <f>SUM(G34:G49)</f>
        <v>1060548.01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1579325.13</v>
      </c>
      <c r="D51" s="41">
        <f>D50+D31</f>
        <v>28134.7</v>
      </c>
      <c r="E51" s="41">
        <f>E50+E31</f>
        <v>95264.03</v>
      </c>
      <c r="F51" s="41">
        <f>F50+F31</f>
        <v>0</v>
      </c>
      <c r="G51" s="41">
        <f>G50+G31</f>
        <v>1060548.01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11180342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23022.880000000001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16837.349999999999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100.14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143111.15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100590.18</v>
      </c>
      <c r="D61" s="95">
        <f>SUM('DOE25'!G98:G110)</f>
        <v>7276.7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140450.40999999997</v>
      </c>
      <c r="D62" s="130">
        <f>SUM(D57:D61)</f>
        <v>150387.85</v>
      </c>
      <c r="E62" s="130">
        <f>SUM(E57:E61)</f>
        <v>0</v>
      </c>
      <c r="F62" s="130">
        <f>SUM(F57:F61)</f>
        <v>0</v>
      </c>
      <c r="G62" s="130">
        <f>SUM(G57:G61)</f>
        <v>100.14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11320792.41</v>
      </c>
      <c r="D63" s="22">
        <f>D56+D62</f>
        <v>150387.85</v>
      </c>
      <c r="E63" s="22">
        <f>E56+E62</f>
        <v>0</v>
      </c>
      <c r="F63" s="22">
        <f>F56+F62</f>
        <v>0</v>
      </c>
      <c r="G63" s="22">
        <f>G56+G62</f>
        <v>100.14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2265418.7799999998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1741081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4006499.78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74153.17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10908.8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4255.47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85061.97</v>
      </c>
      <c r="D78" s="130">
        <f>SUM(D72:D77)</f>
        <v>4255.47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4091561.75</v>
      </c>
      <c r="D81" s="130">
        <f>SUM(D79:D80)+D78+D70</f>
        <v>4255.47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271172.40000000002</v>
      </c>
      <c r="D88" s="95">
        <f>SUM('DOE25'!G153:G161)</f>
        <v>135507.01</v>
      </c>
      <c r="E88" s="95">
        <f>SUM('DOE25'!H153:H161)</f>
        <v>451884.62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35438.769999999997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271172.40000000002</v>
      </c>
      <c r="D91" s="131">
        <f>SUM(D85:D90)</f>
        <v>135507.01</v>
      </c>
      <c r="E91" s="131">
        <f>SUM(E85:E90)</f>
        <v>487323.39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168.9</v>
      </c>
      <c r="E96" s="95">
        <f>'DOE25'!H179</f>
        <v>0</v>
      </c>
      <c r="F96" s="95">
        <f>'DOE25'!I179</f>
        <v>0</v>
      </c>
      <c r="G96" s="95">
        <f>'DOE25'!J179</f>
        <v>881907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762020.59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762020.59</v>
      </c>
      <c r="D103" s="86">
        <f>SUM(D93:D102)</f>
        <v>168.9</v>
      </c>
      <c r="E103" s="86">
        <f>SUM(E93:E102)</f>
        <v>0</v>
      </c>
      <c r="F103" s="86">
        <f>SUM(F93:F102)</f>
        <v>0</v>
      </c>
      <c r="G103" s="86">
        <f>SUM(G93:G102)</f>
        <v>881907</v>
      </c>
    </row>
    <row r="104" spans="1:7" ht="12.75" thickTop="1" thickBot="1" x14ac:dyDescent="0.25">
      <c r="A104" s="33" t="s">
        <v>765</v>
      </c>
      <c r="C104" s="86">
        <f>C63+C81+C91+C103</f>
        <v>16445547.15</v>
      </c>
      <c r="D104" s="86">
        <f>D63+D81+D91+D103</f>
        <v>290319.23000000004</v>
      </c>
      <c r="E104" s="86">
        <f>E63+E81+E91+E103</f>
        <v>487323.39</v>
      </c>
      <c r="F104" s="86">
        <f>F63+F81+F91+F103</f>
        <v>0</v>
      </c>
      <c r="G104" s="86">
        <f>G63+G81+G103</f>
        <v>882007.14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5432889.1600000001</v>
      </c>
      <c r="D109" s="24" t="s">
        <v>289</v>
      </c>
      <c r="E109" s="95">
        <f>('DOE25'!L276)+('DOE25'!L295)+('DOE25'!L314)</f>
        <v>190211.49999999994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3126735.6499999994</v>
      </c>
      <c r="D110" s="24" t="s">
        <v>289</v>
      </c>
      <c r="E110" s="95">
        <f>('DOE25'!L277)+('DOE25'!L296)+('DOE25'!L315)</f>
        <v>259785.10000000003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116230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567879.29</v>
      </c>
      <c r="D112" s="24" t="s">
        <v>289</v>
      </c>
      <c r="E112" s="95">
        <f>+('DOE25'!L279)+('DOE25'!L298)+('DOE25'!L317)</f>
        <v>144.65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9243734.0999999978</v>
      </c>
      <c r="D115" s="86">
        <f>SUM(D109:D114)</f>
        <v>0</v>
      </c>
      <c r="E115" s="86">
        <f>SUM(E109:E114)</f>
        <v>450141.25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1064703.8700000001</v>
      </c>
      <c r="D118" s="24" t="s">
        <v>289</v>
      </c>
      <c r="E118" s="95">
        <f>+('DOE25'!L281)+('DOE25'!L300)+('DOE25'!L319)</f>
        <v>305.35000000000002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803170.04</v>
      </c>
      <c r="D119" s="24" t="s">
        <v>289</v>
      </c>
      <c r="E119" s="95">
        <f>+('DOE25'!L282)+('DOE25'!L301)+('DOE25'!L320)</f>
        <v>29642.43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609946.25</v>
      </c>
      <c r="D120" s="24" t="s">
        <v>289</v>
      </c>
      <c r="E120" s="95">
        <f>+('DOE25'!L283)+('DOE25'!L302)+('DOE25'!L321)</f>
        <v>48.99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764484.16999999993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235082.63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1093600.04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462198.17</v>
      </c>
      <c r="D124" s="24" t="s">
        <v>289</v>
      </c>
      <c r="E124" s="95">
        <f>+('DOE25'!L287)+('DOE25'!L306)+('DOE25'!L325)</f>
        <v>513.29999999999995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1368.6200000000001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308277.45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5034553.79</v>
      </c>
      <c r="D128" s="86">
        <f>SUM(D118:D127)</f>
        <v>308277.45</v>
      </c>
      <c r="E128" s="86">
        <f>SUM(E118:E127)</f>
        <v>30510.07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762020.59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776251.74</v>
      </c>
    </row>
    <row r="135" spans="1:7" x14ac:dyDescent="0.2">
      <c r="A135" t="s">
        <v>233</v>
      </c>
      <c r="B135" s="32" t="s">
        <v>234</v>
      </c>
      <c r="C135" s="95">
        <f>'DOE25'!L263</f>
        <v>168.9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706964.17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175042.97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-100.14000000001397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1644096.4900000002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776251.74</v>
      </c>
    </row>
    <row r="145" spans="1:9" ht="12.75" thickTop="1" thickBot="1" x14ac:dyDescent="0.25">
      <c r="A145" s="33" t="s">
        <v>244</v>
      </c>
      <c r="C145" s="86">
        <f>(C115+C128+C144)</f>
        <v>15922384.379999997</v>
      </c>
      <c r="D145" s="86">
        <f>(D115+D128+D144)</f>
        <v>308277.45</v>
      </c>
      <c r="E145" s="86">
        <f>(E115+E128+E144)</f>
        <v>480651.32</v>
      </c>
      <c r="F145" s="86">
        <f>(F115+F128+F144)</f>
        <v>0</v>
      </c>
      <c r="G145" s="86">
        <f>(G115+G128+G144)</f>
        <v>776251.74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Newmarket SD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13994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17598</v>
      </c>
    </row>
    <row r="7" spans="1:4" x14ac:dyDescent="0.2">
      <c r="B7" t="s">
        <v>705</v>
      </c>
      <c r="C7" s="179">
        <f>IF('DOE25'!I665+'DOE25'!I670=0,0,ROUND('DOE25'!I672,0))</f>
        <v>14846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5623101</v>
      </c>
      <c r="D10" s="182">
        <f>ROUND((C10/$C$28)*100,1)</f>
        <v>37.700000000000003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3386521</v>
      </c>
      <c r="D11" s="182">
        <f>ROUND((C11/$C$28)*100,1)</f>
        <v>22.7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116230</v>
      </c>
      <c r="D12" s="182">
        <f>ROUND((C12/$C$28)*100,1)</f>
        <v>0.8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568024</v>
      </c>
      <c r="D13" s="182">
        <f>ROUND((C13/$C$28)*100,1)</f>
        <v>3.8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1065009</v>
      </c>
      <c r="D15" s="182">
        <f t="shared" ref="D15:D27" si="0">ROUND((C15/$C$28)*100,1)</f>
        <v>7.1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832812</v>
      </c>
      <c r="D16" s="182">
        <f t="shared" si="0"/>
        <v>5.6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611364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764484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235083</v>
      </c>
      <c r="D19" s="182">
        <f t="shared" si="0"/>
        <v>1.6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1093600</v>
      </c>
      <c r="D20" s="182">
        <f t="shared" si="0"/>
        <v>7.3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462711</v>
      </c>
      <c r="D21" s="182">
        <f t="shared" si="0"/>
        <v>3.1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157889.15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14916828.15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762021</v>
      </c>
    </row>
    <row r="30" spans="1:4" x14ac:dyDescent="0.2">
      <c r="B30" s="187" t="s">
        <v>729</v>
      </c>
      <c r="C30" s="180">
        <f>SUM(C28:C29)</f>
        <v>15678849.15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11180342</v>
      </c>
      <c r="D35" s="182">
        <f t="shared" ref="D35:D40" si="1">ROUND((C35/$C$41)*100,1)</f>
        <v>68.5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140550.55000000075</v>
      </c>
      <c r="D36" s="182">
        <f t="shared" si="1"/>
        <v>0.9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4006500</v>
      </c>
      <c r="D37" s="182">
        <f t="shared" si="1"/>
        <v>24.6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89317</v>
      </c>
      <c r="D38" s="182">
        <f t="shared" si="1"/>
        <v>0.5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894003</v>
      </c>
      <c r="D39" s="182">
        <f t="shared" si="1"/>
        <v>5.5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16310712.550000001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Newmarket SD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2014-09-26T16:25:40Z</cp:lastPrinted>
  <dcterms:created xsi:type="dcterms:W3CDTF">1997-12-04T19:04:30Z</dcterms:created>
  <dcterms:modified xsi:type="dcterms:W3CDTF">2014-12-05T17:20:44Z</dcterms:modified>
</cp:coreProperties>
</file>