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210" windowWidth="12735" windowHeight="63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E16" i="13" s="1"/>
  <c r="C16" i="13" s="1"/>
  <c r="L209" i="1"/>
  <c r="L227" i="1"/>
  <c r="L245" i="1"/>
  <c r="C125" i="2" s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C111" i="2" s="1"/>
  <c r="L236" i="1"/>
  <c r="C112" i="2" s="1"/>
  <c r="F6" i="13"/>
  <c r="G6" i="13"/>
  <c r="L202" i="1"/>
  <c r="L220" i="1"/>
  <c r="L238" i="1"/>
  <c r="F7" i="13"/>
  <c r="G7" i="13"/>
  <c r="L203" i="1"/>
  <c r="L221" i="1"/>
  <c r="L239" i="1"/>
  <c r="C119" i="2" s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F662" i="1" s="1"/>
  <c r="L226" i="1"/>
  <c r="L244" i="1"/>
  <c r="F17" i="13"/>
  <c r="G17" i="13"/>
  <c r="D17" i="13" s="1"/>
  <c r="C17" i="13" s="1"/>
  <c r="L251" i="1"/>
  <c r="F18" i="13"/>
  <c r="G18" i="13"/>
  <c r="L252" i="1"/>
  <c r="C114" i="2" s="1"/>
  <c r="F19" i="13"/>
  <c r="G19" i="13"/>
  <c r="L253" i="1"/>
  <c r="F29" i="13"/>
  <c r="G29" i="13"/>
  <c r="L358" i="1"/>
  <c r="L359" i="1"/>
  <c r="L360" i="1"/>
  <c r="H661" i="1" s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E122" i="2" s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E111" i="2" s="1"/>
  <c r="L317" i="1"/>
  <c r="L319" i="1"/>
  <c r="L320" i="1"/>
  <c r="L321" i="1"/>
  <c r="E120" i="2" s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C25" i="10" s="1"/>
  <c r="L341" i="1"/>
  <c r="L342" i="1"/>
  <c r="L255" i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401" i="1" s="1"/>
  <c r="C139" i="2" s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56" i="2" s="1"/>
  <c r="F79" i="1"/>
  <c r="F94" i="1"/>
  <c r="C58" i="2" s="1"/>
  <c r="F111" i="1"/>
  <c r="G111" i="1"/>
  <c r="G112" i="1" s="1"/>
  <c r="H79" i="1"/>
  <c r="E57" i="2" s="1"/>
  <c r="H94" i="1"/>
  <c r="H111" i="1"/>
  <c r="I111" i="1"/>
  <c r="J111" i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3" i="10"/>
  <c r="L250" i="1"/>
  <c r="C113" i="2" s="1"/>
  <c r="L332" i="1"/>
  <c r="E113" i="2" s="1"/>
  <c r="L254" i="1"/>
  <c r="L268" i="1"/>
  <c r="C142" i="2" s="1"/>
  <c r="L269" i="1"/>
  <c r="C26" i="10" s="1"/>
  <c r="L349" i="1"/>
  <c r="L350" i="1"/>
  <c r="I665" i="1"/>
  <c r="I670" i="1"/>
  <c r="G662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E135" i="2" s="1"/>
  <c r="L346" i="1"/>
  <c r="E137" i="2" s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G552" i="1" s="1"/>
  <c r="L531" i="1"/>
  <c r="H549" i="1" s="1"/>
  <c r="L532" i="1"/>
  <c r="H550" i="1" s="1"/>
  <c r="L533" i="1"/>
  <c r="H551" i="1" s="1"/>
  <c r="L536" i="1"/>
  <c r="I549" i="1" s="1"/>
  <c r="I552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C91" i="2" s="1"/>
  <c r="D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D115" i="2"/>
  <c r="F115" i="2"/>
  <c r="G115" i="2"/>
  <c r="E123" i="2"/>
  <c r="E124" i="2"/>
  <c r="F128" i="2"/>
  <c r="G128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G620" i="1" s="1"/>
  <c r="F32" i="1"/>
  <c r="F52" i="1" s="1"/>
  <c r="H617" i="1" s="1"/>
  <c r="G32" i="1"/>
  <c r="G52" i="1" s="1"/>
  <c r="H618" i="1" s="1"/>
  <c r="H32" i="1"/>
  <c r="I32" i="1"/>
  <c r="H51" i="1"/>
  <c r="G624" i="1" s="1"/>
  <c r="I51" i="1"/>
  <c r="F177" i="1"/>
  <c r="I177" i="1"/>
  <c r="F183" i="1"/>
  <c r="F192" i="1" s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643" i="1" s="1"/>
  <c r="G408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G641" i="1" s="1"/>
  <c r="J641" i="1" s="1"/>
  <c r="F452" i="1"/>
  <c r="F461" i="1" s="1"/>
  <c r="H639" i="1" s="1"/>
  <c r="G452" i="1"/>
  <c r="H452" i="1"/>
  <c r="F460" i="1"/>
  <c r="G460" i="1"/>
  <c r="H460" i="1"/>
  <c r="H461" i="1"/>
  <c r="F470" i="1"/>
  <c r="G470" i="1"/>
  <c r="H470" i="1"/>
  <c r="I470" i="1"/>
  <c r="I476" i="1" s="1"/>
  <c r="H625" i="1" s="1"/>
  <c r="J625" i="1" s="1"/>
  <c r="J470" i="1"/>
  <c r="F474" i="1"/>
  <c r="G474" i="1"/>
  <c r="H474" i="1"/>
  <c r="I474" i="1"/>
  <c r="J474" i="1"/>
  <c r="J476" i="1" s="1"/>
  <c r="H626" i="1" s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9" i="1"/>
  <c r="G622" i="1"/>
  <c r="G623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H641" i="1"/>
  <c r="G643" i="1"/>
  <c r="G644" i="1"/>
  <c r="H645" i="1"/>
  <c r="G650" i="1"/>
  <c r="G651" i="1"/>
  <c r="G652" i="1"/>
  <c r="H652" i="1"/>
  <c r="G653" i="1"/>
  <c r="H653" i="1"/>
  <c r="G654" i="1"/>
  <c r="H654" i="1"/>
  <c r="H655" i="1"/>
  <c r="G62" i="2"/>
  <c r="D19" i="13"/>
  <c r="C19" i="13" s="1"/>
  <c r="I169" i="1"/>
  <c r="J140" i="1"/>
  <c r="H140" i="1"/>
  <c r="G192" i="1"/>
  <c r="H192" i="1"/>
  <c r="L570" i="1"/>
  <c r="G36" i="2"/>
  <c r="J112" i="1" l="1"/>
  <c r="I112" i="1"/>
  <c r="J643" i="1"/>
  <c r="H552" i="1"/>
  <c r="L534" i="1"/>
  <c r="A40" i="12"/>
  <c r="A31" i="12"/>
  <c r="A13" i="12"/>
  <c r="C35" i="10"/>
  <c r="J655" i="1"/>
  <c r="K545" i="1"/>
  <c r="I545" i="1"/>
  <c r="G645" i="1"/>
  <c r="J645" i="1" s="1"/>
  <c r="I571" i="1"/>
  <c r="F169" i="1"/>
  <c r="E121" i="2"/>
  <c r="K571" i="1"/>
  <c r="K500" i="1"/>
  <c r="L433" i="1"/>
  <c r="F130" i="2"/>
  <c r="F144" i="2" s="1"/>
  <c r="F145" i="2" s="1"/>
  <c r="G545" i="1"/>
  <c r="G161" i="2"/>
  <c r="C12" i="10"/>
  <c r="C19" i="10"/>
  <c r="I408" i="1"/>
  <c r="L256" i="1"/>
  <c r="L270" i="1"/>
  <c r="J552" i="1"/>
  <c r="H169" i="1"/>
  <c r="C29" i="10"/>
  <c r="E125" i="2"/>
  <c r="E112" i="2"/>
  <c r="L351" i="1"/>
  <c r="J651" i="1"/>
  <c r="J571" i="1"/>
  <c r="H571" i="1"/>
  <c r="F22" i="13"/>
  <c r="C22" i="13" s="1"/>
  <c r="L529" i="1"/>
  <c r="G476" i="1"/>
  <c r="H623" i="1" s="1"/>
  <c r="J623" i="1" s="1"/>
  <c r="G461" i="1"/>
  <c r="H640" i="1" s="1"/>
  <c r="L427" i="1"/>
  <c r="L434" i="1" s="1"/>
  <c r="G638" i="1" s="1"/>
  <c r="J638" i="1" s="1"/>
  <c r="C130" i="2"/>
  <c r="G156" i="2"/>
  <c r="D91" i="2"/>
  <c r="E31" i="2"/>
  <c r="G157" i="2"/>
  <c r="F78" i="2"/>
  <c r="F81" i="2" s="1"/>
  <c r="H545" i="1"/>
  <c r="J640" i="1"/>
  <c r="E78" i="2"/>
  <c r="E81" i="2" s="1"/>
  <c r="E62" i="2"/>
  <c r="E63" i="2" s="1"/>
  <c r="F18" i="2"/>
  <c r="K551" i="1"/>
  <c r="H112" i="1"/>
  <c r="K503" i="1"/>
  <c r="E103" i="2"/>
  <c r="C56" i="2"/>
  <c r="I662" i="1"/>
  <c r="L393" i="1"/>
  <c r="C138" i="2" s="1"/>
  <c r="H647" i="1"/>
  <c r="K605" i="1"/>
  <c r="G648" i="1" s="1"/>
  <c r="F571" i="1"/>
  <c r="L539" i="1"/>
  <c r="I452" i="1"/>
  <c r="I446" i="1"/>
  <c r="G642" i="1" s="1"/>
  <c r="L382" i="1"/>
  <c r="G636" i="1" s="1"/>
  <c r="J636" i="1" s="1"/>
  <c r="C124" i="2"/>
  <c r="E85" i="2"/>
  <c r="E91" i="2" s="1"/>
  <c r="C132" i="2"/>
  <c r="C21" i="10"/>
  <c r="J545" i="1"/>
  <c r="K550" i="1"/>
  <c r="G649" i="1"/>
  <c r="H476" i="1"/>
  <c r="H624" i="1" s="1"/>
  <c r="J624" i="1" s="1"/>
  <c r="C122" i="2"/>
  <c r="D81" i="2"/>
  <c r="F552" i="1"/>
  <c r="D18" i="13"/>
  <c r="C18" i="13" s="1"/>
  <c r="D15" i="13"/>
  <c r="C15" i="13" s="1"/>
  <c r="E13" i="13"/>
  <c r="C13" i="13" s="1"/>
  <c r="L544" i="1"/>
  <c r="F476" i="1"/>
  <c r="H622" i="1" s="1"/>
  <c r="J622" i="1" s="1"/>
  <c r="I52" i="1"/>
  <c r="H620" i="1" s="1"/>
  <c r="J620" i="1" s="1"/>
  <c r="I369" i="1"/>
  <c r="H634" i="1" s="1"/>
  <c r="J634" i="1" s="1"/>
  <c r="G164" i="2"/>
  <c r="K549" i="1"/>
  <c r="L524" i="1"/>
  <c r="G81" i="2"/>
  <c r="C70" i="2"/>
  <c r="D50" i="2"/>
  <c r="D62" i="2"/>
  <c r="D63" i="2" s="1"/>
  <c r="L614" i="1"/>
  <c r="J649" i="1"/>
  <c r="K598" i="1"/>
  <c r="G647" i="1" s="1"/>
  <c r="L565" i="1"/>
  <c r="L560" i="1"/>
  <c r="J639" i="1"/>
  <c r="I460" i="1"/>
  <c r="H408" i="1"/>
  <c r="H644" i="1" s="1"/>
  <c r="J644" i="1" s="1"/>
  <c r="L362" i="1"/>
  <c r="C27" i="10" s="1"/>
  <c r="D127" i="2"/>
  <c r="D128" i="2" s="1"/>
  <c r="D145" i="2" s="1"/>
  <c r="F661" i="1"/>
  <c r="D29" i="13"/>
  <c r="C29" i="13" s="1"/>
  <c r="G661" i="1"/>
  <c r="E118" i="2"/>
  <c r="L328" i="1"/>
  <c r="K338" i="1"/>
  <c r="K352" i="1" s="1"/>
  <c r="E119" i="2"/>
  <c r="H338" i="1"/>
  <c r="H352" i="1" s="1"/>
  <c r="L309" i="1"/>
  <c r="E110" i="2"/>
  <c r="E109" i="2"/>
  <c r="G338" i="1"/>
  <c r="G352" i="1" s="1"/>
  <c r="F338" i="1"/>
  <c r="F352" i="1" s="1"/>
  <c r="J338" i="1"/>
  <c r="J352" i="1" s="1"/>
  <c r="C10" i="10"/>
  <c r="L290" i="1"/>
  <c r="C32" i="10"/>
  <c r="H25" i="13"/>
  <c r="C20" i="10"/>
  <c r="D7" i="13"/>
  <c r="C7" i="13" s="1"/>
  <c r="L247" i="1"/>
  <c r="J257" i="1"/>
  <c r="J271" i="1" s="1"/>
  <c r="C123" i="2"/>
  <c r="C18" i="10"/>
  <c r="L229" i="1"/>
  <c r="E8" i="13"/>
  <c r="C8" i="13" s="1"/>
  <c r="C16" i="10"/>
  <c r="C15" i="10"/>
  <c r="F257" i="1"/>
  <c r="F271" i="1" s="1"/>
  <c r="I257" i="1"/>
  <c r="I271" i="1" s="1"/>
  <c r="C11" i="10"/>
  <c r="K257" i="1"/>
  <c r="K271" i="1" s="1"/>
  <c r="H257" i="1"/>
  <c r="H271" i="1" s="1"/>
  <c r="G257" i="1"/>
  <c r="G271" i="1" s="1"/>
  <c r="D14" i="13"/>
  <c r="C14" i="13" s="1"/>
  <c r="D12" i="13"/>
  <c r="C12" i="13" s="1"/>
  <c r="C121" i="2"/>
  <c r="C17" i="10"/>
  <c r="C120" i="2"/>
  <c r="C118" i="2"/>
  <c r="D6" i="13"/>
  <c r="C6" i="13" s="1"/>
  <c r="C110" i="2"/>
  <c r="L211" i="1"/>
  <c r="D5" i="13"/>
  <c r="C5" i="13" s="1"/>
  <c r="C109" i="2"/>
  <c r="D31" i="2"/>
  <c r="H52" i="1"/>
  <c r="H619" i="1" s="1"/>
  <c r="J619" i="1" s="1"/>
  <c r="D18" i="2"/>
  <c r="C78" i="2"/>
  <c r="F112" i="1"/>
  <c r="C57" i="2"/>
  <c r="C62" i="2"/>
  <c r="C63" i="2" s="1"/>
  <c r="J617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I192" i="1"/>
  <c r="J654" i="1"/>
  <c r="J653" i="1"/>
  <c r="G21" i="2"/>
  <c r="G31" i="2" s="1"/>
  <c r="J32" i="1"/>
  <c r="J434" i="1"/>
  <c r="F434" i="1"/>
  <c r="K434" i="1"/>
  <c r="G134" i="2" s="1"/>
  <c r="G144" i="2" s="1"/>
  <c r="G145" i="2" s="1"/>
  <c r="F31" i="13"/>
  <c r="J193" i="1"/>
  <c r="G646" i="1" s="1"/>
  <c r="H193" i="1"/>
  <c r="G629" i="1" s="1"/>
  <c r="J629" i="1" s="1"/>
  <c r="G169" i="1"/>
  <c r="G140" i="1"/>
  <c r="F140" i="1"/>
  <c r="G63" i="2"/>
  <c r="J618" i="1"/>
  <c r="G42" i="2"/>
  <c r="G50" i="2" s="1"/>
  <c r="J51" i="1"/>
  <c r="G16" i="2"/>
  <c r="G18" i="2" s="1"/>
  <c r="J19" i="1"/>
  <c r="G621" i="1" s="1"/>
  <c r="F545" i="1"/>
  <c r="H434" i="1"/>
  <c r="D103" i="2"/>
  <c r="I140" i="1"/>
  <c r="A22" i="12"/>
  <c r="J652" i="1"/>
  <c r="G571" i="1"/>
  <c r="I434" i="1"/>
  <c r="G434" i="1"/>
  <c r="I663" i="1"/>
  <c r="G635" i="1"/>
  <c r="J635" i="1" s="1"/>
  <c r="F104" i="2" l="1"/>
  <c r="C144" i="2"/>
  <c r="F33" i="13"/>
  <c r="C36" i="10"/>
  <c r="I193" i="1"/>
  <c r="G630" i="1" s="1"/>
  <c r="J630" i="1" s="1"/>
  <c r="C39" i="10"/>
  <c r="L545" i="1"/>
  <c r="D51" i="2"/>
  <c r="K552" i="1"/>
  <c r="E104" i="2"/>
  <c r="G51" i="2"/>
  <c r="C81" i="2"/>
  <c r="J647" i="1"/>
  <c r="L408" i="1"/>
  <c r="G637" i="1" s="1"/>
  <c r="J637" i="1" s="1"/>
  <c r="I461" i="1"/>
  <c r="H642" i="1" s="1"/>
  <c r="J642" i="1" s="1"/>
  <c r="G104" i="2"/>
  <c r="D104" i="2"/>
  <c r="L571" i="1"/>
  <c r="I661" i="1"/>
  <c r="E128" i="2"/>
  <c r="H660" i="1"/>
  <c r="H664" i="1" s="1"/>
  <c r="H672" i="1" s="1"/>
  <c r="C6" i="10" s="1"/>
  <c r="E115" i="2"/>
  <c r="G660" i="1"/>
  <c r="G664" i="1" s="1"/>
  <c r="G667" i="1" s="1"/>
  <c r="L338" i="1"/>
  <c r="L352" i="1" s="1"/>
  <c r="G633" i="1" s="1"/>
  <c r="J633" i="1" s="1"/>
  <c r="F660" i="1"/>
  <c r="F664" i="1" s="1"/>
  <c r="F672" i="1" s="1"/>
  <c r="C4" i="10" s="1"/>
  <c r="D31" i="13"/>
  <c r="C31" i="13" s="1"/>
  <c r="C25" i="13"/>
  <c r="H33" i="13"/>
  <c r="E33" i="13"/>
  <c r="D35" i="13" s="1"/>
  <c r="H648" i="1"/>
  <c r="J648" i="1" s="1"/>
  <c r="C128" i="2"/>
  <c r="C28" i="10"/>
  <c r="D19" i="10" s="1"/>
  <c r="L257" i="1"/>
  <c r="L271" i="1" s="1"/>
  <c r="G632" i="1" s="1"/>
  <c r="J632" i="1" s="1"/>
  <c r="C115" i="2"/>
  <c r="C104" i="2"/>
  <c r="F193" i="1"/>
  <c r="G627" i="1" s="1"/>
  <c r="J627" i="1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H646" i="1" l="1"/>
  <c r="J646" i="1" s="1"/>
  <c r="H667" i="1"/>
  <c r="E145" i="2"/>
  <c r="G672" i="1"/>
  <c r="C5" i="10" s="1"/>
  <c r="I660" i="1"/>
  <c r="I664" i="1" s="1"/>
  <c r="I672" i="1" s="1"/>
  <c r="C7" i="10" s="1"/>
  <c r="D33" i="13"/>
  <c r="D36" i="13" s="1"/>
  <c r="F667" i="1"/>
  <c r="C145" i="2"/>
  <c r="D20" i="10"/>
  <c r="D22" i="10"/>
  <c r="C30" i="10"/>
  <c r="D10" i="10"/>
  <c r="D13" i="10"/>
  <c r="D23" i="10"/>
  <c r="D11" i="10"/>
  <c r="D26" i="10"/>
  <c r="D24" i="10"/>
  <c r="D21" i="10"/>
  <c r="D15" i="10"/>
  <c r="D12" i="10"/>
  <c r="D27" i="10"/>
  <c r="D18" i="10"/>
  <c r="D17" i="10"/>
  <c r="D16" i="10"/>
  <c r="D25" i="10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<sst xmlns="http://schemas.openxmlformats.org/spreadsheetml/2006/main" count="3956" uniqueCount="914">
  <si>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</si>
  <si>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</si>
  <si>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</si>
  <si>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</si>
  <si>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</si>
  <si>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</si>
  <si>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</si>
  <si>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</si>
  <si>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</si>
  <si>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</si>
  <si>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</si>
  <si>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</si>
  <si>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</si>
  <si>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</si>
  <si>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</si>
  <si>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</si>
  <si>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</si>
  <si>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</si>
  <si>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</si>
  <si>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</si>
  <si>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</si>
  <si>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</si>
  <si>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</si>
  <si>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</si>
  <si>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</si>
  <si>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</si>
  <si>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</si>
  <si>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</si>
  <si>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</si>
  <si>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</si>
  <si>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</si>
  <si>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</si>
  <si>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</si>
  <si>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</si>
  <si>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</si>
  <si>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</si>
  <si>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</si>
  <si>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</si>
  <si>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</si>
  <si>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</si>
  <si>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</si>
  <si>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</si>
  <si>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</si>
  <si>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</si>
  <si>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</si>
  <si>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</si>
  <si>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</si>
  <si>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</si>
  <si>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</si>
  <si>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</si>
  <si>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</si>
  <si>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</si>
  <si>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</si>
  <si>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</si>
  <si>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</si>
  <si>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</si>
  <si>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</si>
  <si>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</si>
  <si>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</si>
  <si>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</si>
  <si>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</si>
  <si>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</si>
  <si>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</si>
  <si>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</si>
  <si>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</si>
  <si>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</si>
  <si>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</si>
  <si>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</si>
  <si>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</si>
  <si>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</si>
  <si>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</si>
  <si>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</si>
  <si>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</si>
  <si>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</si>
  <si>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</si>
  <si>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</si>
  <si>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</si>
  <si>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</si>
  <si>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</si>
  <si>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</si>
  <si>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</si>
  <si>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</si>
  <si>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</si>
  <si>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</si>
  <si>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</si>
  <si>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</si>
  <si>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</si>
  <si>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</si>
  <si>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</si>
  <si>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</si>
  <si>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</si>
  <si>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</si>
  <si>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</si>
  <si>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</si>
  <si>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</si>
  <si>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</si>
  <si>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</si>
  <si>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</si>
  <si>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</si>
  <si>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</si>
  <si>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</si>
  <si>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</si>
  <si>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</si>
  <si>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</si>
  <si>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</si>
  <si>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</si>
  <si>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</si>
  <si>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</si>
  <si>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</si>
  <si>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</si>
  <si>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</si>
  <si>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</si>
  <si>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</si>
  <si>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</si>
  <si>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</si>
  <si>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</si>
  <si>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</si>
  <si>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</si>
  <si>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</si>
  <si>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</si>
  <si>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</si>
  <si>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</si>
  <si>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</si>
  <si>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</si>
  <si>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</si>
  <si>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</si>
  <si>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</si>
  <si>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</si>
  <si>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</si>
  <si>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</si>
  <si>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</si>
  <si>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</si>
  <si>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</si>
  <si>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</si>
  <si>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</si>
  <si>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</si>
  <si>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</si>
  <si>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</si>
  <si>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</si>
  <si>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</si>
  <si>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</si>
  <si>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</si>
  <si>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</si>
  <si>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</si>
  <si>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</si>
  <si>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</si>
  <si>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</si>
  <si>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</si>
  <si>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</si>
  <si>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</si>
  <si>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</si>
  <si>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</si>
  <si>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</si>
  <si>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</si>
  <si>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</si>
  <si>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</si>
  <si>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</si>
  <si>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</si>
  <si>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</si>
  <si>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</si>
  <si>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</si>
  <si>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</si>
  <si>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</si>
  <si>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</si>
  <si>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</si>
  <si>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</si>
  <si>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</si>
  <si>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</si>
  <si>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</si>
  <si>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</si>
  <si>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</si>
  <si>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</si>
  <si>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</si>
  <si>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</si>
  <si>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</si>
  <si>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</si>
  <si>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</si>
  <si>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</si>
  <si>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</si>
  <si>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</si>
  <si>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</si>
  <si>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</si>
  <si>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</si>
  <si>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</si>
  <si>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</si>
  <si>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</si>
  <si>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</si>
  <si>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</si>
  <si>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</si>
  <si>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</si>
  <si>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</si>
  <si>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</si>
  <si>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</si>
  <si>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</si>
  <si>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</si>
  <si>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</si>
  <si>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</si>
  <si>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</si>
  <si>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</si>
  <si>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</si>
  <si>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</si>
  <si>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</si>
  <si>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</si>
  <si>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</si>
  <si>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</si>
  <si>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</si>
  <si>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</si>
  <si>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</si>
  <si>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</si>
  <si>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</si>
  <si>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</si>
  <si>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</si>
  <si>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</si>
  <si>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</si>
  <si>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</si>
  <si>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</si>
  <si>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</si>
  <si>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</si>
  <si>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</si>
  <si>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</si>
  <si>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</si>
  <si>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</si>
  <si>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</si>
  <si>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</si>
  <si>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</si>
  <si>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</si>
  <si>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</si>
  <si>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</si>
  <si>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</si>
  <si>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</si>
  <si>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</si>
  <si>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</si>
  <si>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</si>
  <si>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</si>
  <si>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</si>
  <si>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</si>
  <si>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</si>
  <si>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</si>
  <si>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</si>
  <si>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</si>
  <si>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</si>
  <si>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</si>
  <si>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</si>
  <si>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</si>
  <si>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</si>
  <si>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</si>
  <si>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</si>
  <si>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</si>
  <si>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</si>
  <si>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</si>
  <si>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</si>
  <si>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</si>
  <si>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</si>
  <si>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</si>
  <si>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</si>
  <si>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</si>
  <si>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</si>
  <si>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</si>
  <si>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</si>
  <si>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</si>
  <si>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</si>
  <si>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</si>
  <si>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</si>
  <si>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</si>
  <si>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</si>
  <si>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</si>
  <si>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</si>
  <si>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</si>
  <si>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</si>
  <si>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</si>
  <si>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</si>
  <si>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</si>
  <si>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</si>
  <si>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</si>
  <si>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</si>
  <si>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</si>
  <si>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</si>
  <si>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</si>
  <si>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</si>
  <si>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</si>
  <si>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</si>
  <si>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</si>
  <si>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</si>
  <si>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</si>
  <si>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</si>
  <si>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</si>
  <si>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</si>
  <si>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</si>
  <si>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</si>
  <si>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</si>
  <si>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</si>
  <si>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</si>
  <si>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</si>
  <si>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</si>
  <si>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</si>
  <si>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</si>
  <si>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</si>
  <si>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</si>
  <si>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</si>
  <si>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</si>
  <si>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</si>
  <si>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</si>
  <si>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</si>
  <si>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</si>
  <si>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</si>
  <si>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</si>
  <si>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</si>
  <si>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</si>
  <si>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</si>
  <si>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</si>
  <si>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</si>
  <si>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</si>
  <si>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</si>
  <si>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</si>
  <si>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</si>
  <si>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</si>
  <si>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</si>
  <si>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</si>
  <si>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</si>
  <si>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</si>
  <si>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</si>
  <si>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</si>
  <si>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</si>
  <si>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</si>
  <si>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</si>
  <si>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</si>
  <si>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</si>
  <si>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</si>
  <si>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</si>
  <si>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</si>
  <si>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</si>
  <si>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</si>
  <si>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</si>
  <si>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</si>
  <si>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</si>
  <si>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</si>
  <si>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</si>
  <si>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</si>
  <si>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</si>
  <si>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</si>
  <si>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</si>
  <si>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</si>
  <si>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</si>
  <si>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</si>
  <si>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</si>
  <si>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</si>
  <si>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</si>
  <si>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</si>
  <si>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</si>
  <si>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</si>
  <si>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</si>
  <si>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</si>
  <si>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</si>
  <si>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</si>
  <si>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</si>
  <si>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</si>
  <si>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</si>
  <si>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</si>
  <si>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</si>
  <si>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</si>
  <si>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</si>
  <si>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</si>
  <si>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</si>
  <si>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</si>
  <si>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</si>
  <si>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</si>
  <si>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</si>
  <si>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</si>
  <si>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</si>
  <si>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</si>
  <si>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</si>
  <si>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</si>
  <si>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</si>
  <si>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</si>
  <si>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</si>
  <si>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</si>
  <si>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</si>
  <si>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</si>
  <si>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</si>
  <si>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</si>
  <si>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</si>
  <si>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</si>
  <si>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</si>
  <si>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</si>
  <si>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</si>
  <si>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</si>
  <si>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</si>
  <si>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</si>
  <si>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</si>
  <si>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</si>
  <si>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</si>
  <si>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</si>
  <si>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</si>
  <si>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</si>
  <si>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</si>
  <si>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</si>
  <si>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</si>
  <si>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</si>
  <si>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</si>
  <si>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</si>
  <si>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</si>
  <si>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</si>
  <si>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</si>
  <si>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</si>
  <si>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</si>
  <si>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</si>
  <si>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</si>
  <si>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</si>
  <si>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</si>
  <si>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</si>
  <si>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</si>
  <si>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</si>
  <si>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</si>
  <si>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</si>
  <si>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</si>
  <si>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</si>
  <si>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</si>
  <si>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</si>
  <si>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</si>
  <si>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</si>
  <si>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</si>
  <si>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</si>
  <si>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</si>
  <si>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</si>
  <si>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</si>
  <si>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</si>
  <si>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</si>
  <si>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</si>
  <si>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</si>
  <si>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</si>
  <si>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</si>
  <si>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</si>
  <si>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</si>
  <si>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</si>
  <si>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</si>
  <si>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</si>
  <si>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</si>
  <si>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</si>
  <si>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</si>
  <si>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</si>
  <si>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</si>
  <si>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</si>
  <si>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</si>
  <si>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</si>
  <si>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</si>
  <si>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</si>
  <si>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</si>
  <si>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</si>
  <si>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</si>
  <si>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</si>
  <si>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</si>
  <si>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</si>
  <si>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</si>
  <si>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</si>
  <si>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</si>
  <si>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</si>
  <si>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</si>
  <si>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</si>
  <si>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</si>
  <si>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</si>
  <si>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</si>
  <si>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</si>
  <si>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</si>
  <si>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</si>
  <si>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</si>
  <si>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</si>
  <si>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</si>
  <si>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</si>
  <si>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</si>
  <si>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</si>
  <si>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</si>
  <si>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</si>
  <si>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</si>
  <si>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</si>
  <si>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</si>
  <si>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</si>
  <si>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</si>
  <si>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</si>
  <si>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</si>
  <si>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</si>
  <si>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</si>
  <si>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</si>
  <si>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</si>
  <si>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</si>
  <si>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</si>
  <si>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</si>
  <si>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</si>
  <si>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</si>
  <si>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</si>
  <si>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</si>
  <si>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</si>
  <si>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</si>
  <si>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</si>
  <si>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</si>
  <si>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</si>
  <si>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</si>
  <si>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</si>
  <si>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</si>
  <si>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</si>
  <si>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</si>
  <si>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</si>
  <si>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</si>
  <si>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</si>
  <si>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</si>
  <si>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</si>
  <si>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</si>
  <si>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</si>
  <si>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</si>
  <si>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</si>
  <si>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</si>
  <si>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</si>
  <si>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</si>
  <si>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</si>
  <si>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</si>
  <si>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</si>
  <si>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</si>
  <si>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</si>
  <si>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</si>
  <si>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</si>
  <si>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</si>
  <si>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</si>
  <si>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</si>
  <si>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</si>
  <si>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</si>
  <si>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</si>
  <si>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</si>
  <si>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</si>
  <si>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</si>
  <si>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</si>
  <si>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</si>
  <si>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</si>
  <si>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</si>
  <si>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</si>
  <si>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</si>
  <si>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</si>
  <si>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</si>
  <si>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</si>
  <si>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</si>
  <si>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</si>
  <si>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</si>
  <si>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</si>
  <si>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</si>
  <si>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</si>
  <si>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</si>
  <si>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</si>
  <si>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</si>
  <si>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</si>
  <si>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</si>
  <si>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</si>
  <si>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</si>
  <si>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</si>
  <si>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</si>
  <si>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</si>
  <si>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</si>
  <si>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</si>
  <si>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</si>
  <si>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</si>
  <si>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</si>
  <si>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</si>
  <si>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</si>
  <si>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</si>
  <si>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</si>
  <si>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</si>
  <si>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</si>
  <si>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</si>
  <si>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</si>
  <si>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</si>
  <si>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</si>
  <si>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</si>
  <si>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</si>
  <si>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</si>
  <si>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</si>
  <si>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</si>
  <si>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</si>
  <si>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</si>
  <si>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</si>
  <si>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</si>
  <si>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</si>
  <si>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</si>
  <si>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</si>
  <si>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</si>
  <si>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</si>
  <si>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</si>
  <si>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</si>
  <si>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</si>
  <si>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</si>
  <si>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</si>
  <si>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</si>
  <si>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</si>
  <si>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</si>
  <si>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</si>
  <si>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</si>
  <si>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</si>
  <si>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</si>
  <si>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</si>
  <si>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</si>
  <si>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</si>
  <si>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</si>
  <si>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</si>
  <si>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</si>
  <si>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</si>
  <si>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</si>
  <si>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</si>
  <si>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</si>
  <si>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</si>
  <si>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</si>
  <si>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</si>
  <si>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</si>
  <si>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</si>
  <si>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</si>
  <si>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</si>
  <si>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</si>
  <si>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</si>
  <si>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</si>
  <si>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</si>
  <si>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</si>
  <si>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</si>
  <si>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</si>
  <si>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</si>
  <si>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</si>
  <si>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</si>
  <si>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</si>
  <si>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</si>
  <si>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</si>
  <si>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</si>
  <si>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</si>
  <si>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</si>
  <si>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</si>
  <si>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</si>
  <si>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</si>
  <si>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</si>
  <si>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</si>
  <si>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</si>
  <si>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</si>
  <si>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</si>
  <si>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</si>
  <si>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</si>
  <si>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</si>
  <si>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</si>
  <si>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</si>
  <si>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</si>
  <si>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</si>
  <si>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</si>
  <si>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</si>
  <si>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</si>
  <si>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</si>
  <si>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</si>
  <si>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</si>
  <si>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</si>
  <si>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</si>
  <si>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</si>
  <si>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</si>
  <si>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</si>
  <si>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</si>
  <si>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</si>
  <si>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</si>
  <si>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</si>
  <si>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</si>
  <si>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</si>
  <si>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</si>
  <si>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</si>
  <si>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</si>
  <si>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</si>
  <si>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</si>
  <si>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</si>
  <si>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</si>
  <si>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</si>
  <si>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</si>
  <si>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</si>
  <si>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</si>
  <si>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</si>
  <si>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</si>
  <si>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</si>
  <si>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</si>
  <si>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</si>
  <si>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</si>
  <si>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</si>
  <si>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</si>
  <si>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</si>
  <si>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</si>
  <si>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</si>
  <si>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</si>
  <si>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</si>
  <si>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</si>
  <si>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</si>
  <si>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</si>
  <si>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</si>
  <si>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</si>
  <si>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</si>
  <si>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</si>
  <si>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</si>
  <si>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</si>
  <si>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</si>
  <si>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</si>
  <si>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</si>
  <si>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</si>
  <si>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</si>
  <si>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</si>
  <si>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</si>
  <si>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</si>
  <si>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</si>
  <si>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</si>
  <si>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</si>
  <si>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</si>
  <si>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</si>
  <si>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</si>
  <si>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</si>
  <si>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</si>
  <si>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</si>
  <si>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</si>
  <si>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</si>
  <si>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</si>
  <si>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</si>
  <si>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</si>
  <si>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</si>
  <si>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</si>
  <si>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</si>
  <si>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</si>
  <si>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</si>
  <si>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</si>
  <si>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</si>
  <si>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</si>
  <si>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</si>
  <si>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</si>
  <si>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</si>
  <si>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</si>
  <si>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</si>
  <si>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</si>
  <si>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</si>
  <si>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</si>
  <si>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</si>
  <si>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</si>
  <si>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</si>
  <si>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</si>
  <si>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</si>
  <si>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</si>
  <si>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</si>
  <si>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</si>
  <si>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</si>
  <si>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</si>
  <si>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</si>
  <si>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</si>
  <si>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</si>
  <si>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</si>
  <si>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</si>
  <si>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</si>
  <si>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</si>
  <si>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</si>
  <si>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</si>
  <si>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</si>
  <si>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</si>
  <si>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</si>
  <si>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</si>
  <si>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</si>
  <si>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</si>
  <si>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</si>
  <si>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</si>
  <si>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</si>
  <si>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</si>
  <si>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</si>
  <si>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</si>
  <si>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</si>
  <si>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</si>
  <si>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</si>
  <si>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</si>
  <si>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</si>
  <si>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</si>
  <si>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</si>
  <si>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</si>
  <si>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</si>
  <si>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</si>
  <si>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</si>
  <si>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</si>
  <si>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</si>
  <si>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</si>
  <si>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</si>
  <si>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</si>
  <si>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</si>
  <si>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</si>
  <si>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</si>
  <si>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</si>
  <si>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</si>
  <si>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</si>
  <si>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</si>
  <si>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</si>
  <si>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</si>
  <si>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</si>
  <si>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</si>
  <si>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</si>
  <si>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</si>
  <si>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</si>
  <si>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</si>
  <si>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</si>
  <si>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</si>
  <si>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</si>
  <si>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</si>
  <si>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</si>
  <si>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</si>
  <si>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</si>
  <si>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</si>
  <si>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</si>
  <si>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</si>
  <si>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</si>
  <si>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</si>
  <si>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</si>
  <si>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</si>
  <si>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</si>
  <si>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</si>
  <si>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</si>
  <si>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</si>
  <si>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</si>
  <si>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</si>
  <si>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</si>
  <si>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</si>
  <si>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</si>
  <si>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</si>
  <si>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</si>
  <si>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</si>
  <si>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</si>
  <si>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</si>
  <si>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</si>
  <si>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</si>
  <si>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</si>
  <si>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</si>
  <si>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</si>
  <si>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</si>
  <si>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</si>
  <si>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</si>
  <si>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</si>
  <si>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</si>
  <si>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</si>
  <si>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</si>
  <si>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</si>
  <si>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</si>
  <si>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</si>
  <si>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</si>
  <si>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</si>
  <si>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</si>
  <si>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</si>
  <si>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</si>
  <si>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</si>
  <si>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</si>
  <si>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</si>
  <si>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</si>
  <si>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</si>
  <si>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</si>
  <si>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</si>
  <si>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</si>
  <si>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</si>
  <si>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</si>
  <si>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</si>
  <si>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</si>
  <si>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</si>
  <si>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</si>
  <si>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</si>
  <si>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</si>
  <si>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</si>
  <si>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</si>
  <si>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</si>
  <si>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</si>
  <si>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</si>
  <si>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</si>
  <si>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</si>
  <si>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</si>
  <si>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</si>
  <si>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</si>
  <si>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</si>
  <si>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</si>
  <si>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</si>
  <si>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</si>
  <si>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</si>
  <si>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</si>
  <si>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</si>
  <si>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</si>
  <si>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</si>
  <si>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</si>
  <si>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</si>
  <si>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</si>
  <si>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</si>
  <si>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</si>
  <si>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</si>
  <si>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</si>
  <si>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</si>
  <si>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</si>
  <si>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</si>
  <si>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</si>
  <si>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</si>
  <si>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</si>
  <si>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</si>
  <si>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</si>
  <si>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</si>
  <si>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</si>
  <si>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</si>
  <si>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</si>
  <si>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</si>
  <si>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</si>
  <si>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</si>
  <si>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</si>
  <si>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</si>
  <si>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</si>
  <si>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</si>
  <si>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</si>
  <si>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</si>
  <si>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</si>
  <si>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</si>
  <si>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</si>
  <si>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</si>
  <si>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</si>
  <si>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</si>
  <si>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</si>
  <si>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</si>
  <si>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08/27</t>
  </si>
  <si>
    <t>08/07</t>
  </si>
  <si>
    <t>NEWPORT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</si>
</sst>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90" zoomScaleNormal="90" workbookViewId="0">
      <pane xSplit="5" ySplit="3" topLeftCell="F625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913</v>
      </c>
      <c r="B2" s="21">
        <v>401</v>
      </c>
      <c r="C2" s="21">
        <v>401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530213.03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997666.91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151016.89000000001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33401.35</v>
      </c>
      <c r="G13" s="18">
        <v>11280.31</v>
      </c>
      <c r="H13" s="18">
        <v>154096.87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2558.91</v>
      </c>
      <c r="G14" s="18">
        <v>33996.660000000003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11296.43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29982.31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747172.49000000011</v>
      </c>
      <c r="G19" s="41">
        <f>SUM(G9:G18)</f>
        <v>56573.4</v>
      </c>
      <c r="H19" s="41">
        <f>SUM(H9:H18)</f>
        <v>154096.87</v>
      </c>
      <c r="I19" s="41">
        <f>SUM(I9:I18)</f>
        <v>0</v>
      </c>
      <c r="J19" s="41">
        <f>SUM(J9:J18)</f>
        <v>997666.91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41873.339999999997</v>
      </c>
      <c r="H22" s="18">
        <v>109143.55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209785.94</v>
      </c>
      <c r="G24" s="18">
        <v>91.63</v>
      </c>
      <c r="H24" s="18">
        <v>37029.65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254.29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351662</v>
      </c>
      <c r="G30" s="18">
        <v>3191.24</v>
      </c>
      <c r="H30" s="18">
        <v>7923.67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561702.23</v>
      </c>
      <c r="G32" s="41">
        <f>SUM(G22:G31)</f>
        <v>45156.209999999992</v>
      </c>
      <c r="H32" s="41">
        <f>SUM(H22:H31)</f>
        <v>154096.87000000002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11296.43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29982.31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120.76</v>
      </c>
      <c r="H48" s="18"/>
      <c r="I48" s="18"/>
      <c r="J48" s="13">
        <f>SUM(I459)</f>
        <v>997666.91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7888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137599.95000000001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185470.26</v>
      </c>
      <c r="G51" s="41">
        <f>SUM(G35:G50)</f>
        <v>11417.19</v>
      </c>
      <c r="H51" s="41">
        <f>SUM(H35:H50)</f>
        <v>0</v>
      </c>
      <c r="I51" s="41">
        <f>SUM(I35:I50)</f>
        <v>0</v>
      </c>
      <c r="J51" s="41">
        <f>SUM(J35:J50)</f>
        <v>997666.91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747172.49</v>
      </c>
      <c r="G52" s="41">
        <f>G51+G32</f>
        <v>56573.399999999994</v>
      </c>
      <c r="H52" s="41">
        <f>H51+H32</f>
        <v>154096.87000000002</v>
      </c>
      <c r="I52" s="41">
        <f>I51+I32</f>
        <v>0</v>
      </c>
      <c r="J52" s="41">
        <f>J51+J32</f>
        <v>997666.91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5349342.3899999997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5349342.3899999997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5556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1555741.79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13000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35913.78</v>
      </c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1610211.57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>
        <v>8580</v>
      </c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>
        <v>502.8</v>
      </c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>
        <v>964.66</v>
      </c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10047.459999999999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814.52</v>
      </c>
      <c r="G96" s="18"/>
      <c r="H96" s="18"/>
      <c r="I96" s="18"/>
      <c r="J96" s="18">
        <v>13306.6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128061.08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7491.1</v>
      </c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324642.86</v>
      </c>
      <c r="G110" s="18">
        <v>8459.58</v>
      </c>
      <c r="H110" s="18">
        <v>12276.33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332948.47999999998</v>
      </c>
      <c r="G111" s="41">
        <f>SUM(G96:G110)</f>
        <v>136520.66</v>
      </c>
      <c r="H111" s="41">
        <f>SUM(H96:H110)</f>
        <v>12276.33</v>
      </c>
      <c r="I111" s="41">
        <f>SUM(I96:I110)</f>
        <v>0</v>
      </c>
      <c r="J111" s="41">
        <f>SUM(J96:J110)</f>
        <v>13306.6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7302549.9000000004</v>
      </c>
      <c r="G112" s="41">
        <f>G60+G111</f>
        <v>136520.66</v>
      </c>
      <c r="H112" s="41">
        <f>H60+H79+H94+H111</f>
        <v>12276.33</v>
      </c>
      <c r="I112" s="41">
        <f>I60+I111</f>
        <v>0</v>
      </c>
      <c r="J112" s="41">
        <f>J60+J111</f>
        <v>13306.6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6420147.2599999998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1081917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7502064.2599999998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356596.02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278776.34999999998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72178.850000000006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844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5347.53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708395.22</v>
      </c>
      <c r="G136" s="41">
        <f>SUM(G123:G135)</f>
        <v>5347.53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8210459.4799999995</v>
      </c>
      <c r="G140" s="41">
        <f>G121+SUM(G136:G137)</f>
        <v>5347.53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>
        <v>9381.68</v>
      </c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666689.72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82297.78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32752.01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282572.32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229224.15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68084.38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6100.97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68084.38</v>
      </c>
      <c r="G162" s="41">
        <f>SUM(G150:G161)</f>
        <v>282572.32</v>
      </c>
      <c r="H162" s="41">
        <f>SUM(H150:H161)</f>
        <v>1026446.31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>
        <v>9630</v>
      </c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68084.38</v>
      </c>
      <c r="G169" s="41">
        <f>G147+G162+SUM(G163:G168)</f>
        <v>282572.32</v>
      </c>
      <c r="H169" s="41">
        <f>H147+H162+SUM(H163:H168)</f>
        <v>1036076.31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10000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10000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10000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15581093.76</v>
      </c>
      <c r="G193" s="47">
        <f>G112+G140+G169+G192</f>
        <v>424440.51</v>
      </c>
      <c r="H193" s="47">
        <f>H112+H140+H169+H192</f>
        <v>1048352.64</v>
      </c>
      <c r="I193" s="47">
        <f>I112+I140+I169+I192</f>
        <v>0</v>
      </c>
      <c r="J193" s="47">
        <f>J112+J140+J192</f>
        <v>23306.6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1506198.03</v>
      </c>
      <c r="G197" s="18">
        <v>803584</v>
      </c>
      <c r="H197" s="18">
        <v>4315.79</v>
      </c>
      <c r="I197" s="18">
        <v>65553.78</v>
      </c>
      <c r="J197" s="18">
        <v>2075.7600000000002</v>
      </c>
      <c r="K197" s="18">
        <v>100</v>
      </c>
      <c r="L197" s="19">
        <f>SUM(F197:K197)</f>
        <v>2381827.36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798710.75</v>
      </c>
      <c r="G198" s="18">
        <v>267251.25</v>
      </c>
      <c r="H198" s="18">
        <v>299723.59999999998</v>
      </c>
      <c r="I198" s="18">
        <v>5845.62</v>
      </c>
      <c r="J198" s="18">
        <v>1084.56</v>
      </c>
      <c r="K198" s="18">
        <v>1277.4000000000001</v>
      </c>
      <c r="L198" s="19">
        <f>SUM(F198:K198)</f>
        <v>1373893.1800000002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1528.91</v>
      </c>
      <c r="G200" s="18">
        <v>212.14</v>
      </c>
      <c r="H200" s="18"/>
      <c r="I200" s="18">
        <v>338.3</v>
      </c>
      <c r="J200" s="18"/>
      <c r="K200" s="18"/>
      <c r="L200" s="19">
        <f>SUM(F200:K200)</f>
        <v>2079.3500000000004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393198.58</v>
      </c>
      <c r="G202" s="18">
        <v>197622.34</v>
      </c>
      <c r="H202" s="18">
        <v>336090.98</v>
      </c>
      <c r="I202" s="18">
        <v>8555.02</v>
      </c>
      <c r="J202" s="18"/>
      <c r="K202" s="18"/>
      <c r="L202" s="19">
        <f t="shared" ref="L202:L208" si="0">SUM(F202:K202)</f>
        <v>935466.92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142553.70000000001</v>
      </c>
      <c r="G203" s="18">
        <v>69200.61</v>
      </c>
      <c r="H203" s="18">
        <v>86690.28</v>
      </c>
      <c r="I203" s="18">
        <v>30641.45</v>
      </c>
      <c r="J203" s="18">
        <v>32548.62</v>
      </c>
      <c r="K203" s="18">
        <v>1175</v>
      </c>
      <c r="L203" s="19">
        <f t="shared" si="0"/>
        <v>362809.66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4617.37</v>
      </c>
      <c r="G204" s="18">
        <v>387.47</v>
      </c>
      <c r="H204" s="18">
        <v>342054.63</v>
      </c>
      <c r="I204" s="18">
        <v>1629.65</v>
      </c>
      <c r="J204" s="18"/>
      <c r="K204" s="18">
        <v>3995.05</v>
      </c>
      <c r="L204" s="19">
        <f t="shared" si="0"/>
        <v>352684.17000000004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182621.53</v>
      </c>
      <c r="G205" s="18">
        <v>68818.81</v>
      </c>
      <c r="H205" s="18">
        <v>18438.72</v>
      </c>
      <c r="I205" s="18">
        <v>1948.27</v>
      </c>
      <c r="J205" s="18"/>
      <c r="K205" s="18">
        <v>573.54999999999995</v>
      </c>
      <c r="L205" s="19">
        <f t="shared" si="0"/>
        <v>272400.88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128303.55</v>
      </c>
      <c r="G207" s="18">
        <v>90300.35</v>
      </c>
      <c r="H207" s="18">
        <v>99966.94</v>
      </c>
      <c r="I207" s="18">
        <v>178712.98</v>
      </c>
      <c r="J207" s="18"/>
      <c r="K207" s="18"/>
      <c r="L207" s="19">
        <f t="shared" si="0"/>
        <v>497283.82000000007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118168.75</v>
      </c>
      <c r="G208" s="18">
        <v>20309.57</v>
      </c>
      <c r="H208" s="18">
        <v>132518.5</v>
      </c>
      <c r="I208" s="18">
        <v>34085.07</v>
      </c>
      <c r="J208" s="18"/>
      <c r="K208" s="18">
        <v>402.71</v>
      </c>
      <c r="L208" s="19">
        <f t="shared" si="0"/>
        <v>305484.60000000003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3275901.1700000004</v>
      </c>
      <c r="G211" s="41">
        <f t="shared" si="1"/>
        <v>1517686.5400000003</v>
      </c>
      <c r="H211" s="41">
        <f t="shared" si="1"/>
        <v>1319799.4399999997</v>
      </c>
      <c r="I211" s="41">
        <f t="shared" si="1"/>
        <v>327310.14</v>
      </c>
      <c r="J211" s="41">
        <f t="shared" si="1"/>
        <v>35708.94</v>
      </c>
      <c r="K211" s="41">
        <f t="shared" si="1"/>
        <v>7523.7100000000009</v>
      </c>
      <c r="L211" s="41">
        <f t="shared" si="1"/>
        <v>6483929.9400000004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582775.92000000004</v>
      </c>
      <c r="G215" s="18">
        <v>329896.74</v>
      </c>
      <c r="H215" s="18">
        <v>2263.0300000000002</v>
      </c>
      <c r="I215" s="18">
        <v>18673.28</v>
      </c>
      <c r="J215" s="18">
        <v>1284.3499999999999</v>
      </c>
      <c r="K215" s="18">
        <v>1750</v>
      </c>
      <c r="L215" s="19">
        <f>SUM(F215:K215)</f>
        <v>936643.32000000007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191800.13</v>
      </c>
      <c r="G216" s="18">
        <v>78083.61</v>
      </c>
      <c r="H216" s="18">
        <v>335181.71999999997</v>
      </c>
      <c r="I216" s="18">
        <v>361.73</v>
      </c>
      <c r="J216" s="18">
        <v>667.28</v>
      </c>
      <c r="K216" s="18">
        <v>365.62</v>
      </c>
      <c r="L216" s="19">
        <f>SUM(F216:K216)</f>
        <v>606460.09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14433.51</v>
      </c>
      <c r="G218" s="18">
        <v>1560.1</v>
      </c>
      <c r="H218" s="18"/>
      <c r="I218" s="18"/>
      <c r="J218" s="18"/>
      <c r="K218" s="18"/>
      <c r="L218" s="19">
        <f>SUM(F218:K218)</f>
        <v>15993.61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112843.27</v>
      </c>
      <c r="G220" s="18">
        <v>35465.64</v>
      </c>
      <c r="H220" s="18">
        <v>76568</v>
      </c>
      <c r="I220" s="18">
        <v>122.7</v>
      </c>
      <c r="J220" s="18"/>
      <c r="K220" s="18"/>
      <c r="L220" s="19">
        <f t="shared" ref="L220:L226" si="2">SUM(F220:K220)</f>
        <v>224999.61000000002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50968.36</v>
      </c>
      <c r="G221" s="18">
        <v>24882.560000000001</v>
      </c>
      <c r="H221" s="18">
        <v>25478.57</v>
      </c>
      <c r="I221" s="18">
        <v>14476.18</v>
      </c>
      <c r="J221" s="18">
        <v>11325.15</v>
      </c>
      <c r="K221" s="18">
        <v>2379.37</v>
      </c>
      <c r="L221" s="19">
        <f t="shared" si="2"/>
        <v>129510.18999999997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1321.58</v>
      </c>
      <c r="G222" s="18">
        <v>110.9</v>
      </c>
      <c r="H222" s="18">
        <v>97902.53</v>
      </c>
      <c r="I222" s="18">
        <v>466.44</v>
      </c>
      <c r="J222" s="18"/>
      <c r="K222" s="18">
        <v>1143.46</v>
      </c>
      <c r="L222" s="19">
        <f t="shared" si="2"/>
        <v>100944.91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73560.41</v>
      </c>
      <c r="G223" s="18">
        <v>36657.760000000002</v>
      </c>
      <c r="H223" s="18">
        <v>4391.92</v>
      </c>
      <c r="I223" s="18">
        <v>3430.52</v>
      </c>
      <c r="J223" s="18">
        <v>554.87</v>
      </c>
      <c r="K223" s="18">
        <v>641.03</v>
      </c>
      <c r="L223" s="19">
        <f t="shared" si="2"/>
        <v>119236.51000000001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43804.24</v>
      </c>
      <c r="G225" s="18">
        <v>24196.41</v>
      </c>
      <c r="H225" s="18">
        <v>25696.42</v>
      </c>
      <c r="I225" s="18">
        <v>52442</v>
      </c>
      <c r="J225" s="18">
        <v>1119.58</v>
      </c>
      <c r="K225" s="18"/>
      <c r="L225" s="19">
        <f t="shared" si="2"/>
        <v>147258.65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33731.199999999997</v>
      </c>
      <c r="G226" s="18">
        <v>5853.37</v>
      </c>
      <c r="H226" s="18">
        <v>60567.839999999997</v>
      </c>
      <c r="I226" s="18">
        <v>9755.7900000000009</v>
      </c>
      <c r="J226" s="18"/>
      <c r="K226" s="18">
        <v>115.26</v>
      </c>
      <c r="L226" s="19">
        <f t="shared" si="2"/>
        <v>110023.46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1105238.6200000001</v>
      </c>
      <c r="G229" s="41">
        <f>SUM(G215:G228)</f>
        <v>536707.09</v>
      </c>
      <c r="H229" s="41">
        <f>SUM(H215:H228)</f>
        <v>628050.03</v>
      </c>
      <c r="I229" s="41">
        <f>SUM(I215:I228)</f>
        <v>99728.640000000014</v>
      </c>
      <c r="J229" s="41">
        <f>SUM(J215:J228)</f>
        <v>14951.23</v>
      </c>
      <c r="K229" s="41">
        <f t="shared" si="3"/>
        <v>6394.74</v>
      </c>
      <c r="L229" s="41">
        <f t="shared" si="3"/>
        <v>2391070.35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1133389.5900000001</v>
      </c>
      <c r="G233" s="18">
        <v>642217.23</v>
      </c>
      <c r="H233" s="18">
        <v>22622.44</v>
      </c>
      <c r="I233" s="18">
        <v>132072.57</v>
      </c>
      <c r="J233" s="18">
        <v>2563.11</v>
      </c>
      <c r="K233" s="18">
        <v>2890</v>
      </c>
      <c r="L233" s="19">
        <f>SUM(F233:K233)</f>
        <v>1935754.9400000002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268730.75</v>
      </c>
      <c r="G234" s="18">
        <v>201862.69</v>
      </c>
      <c r="H234" s="18">
        <v>722244.85</v>
      </c>
      <c r="I234" s="18">
        <v>2823.31</v>
      </c>
      <c r="J234" s="18">
        <v>298.99</v>
      </c>
      <c r="K234" s="18">
        <v>988.98</v>
      </c>
      <c r="L234" s="19">
        <f>SUM(F234:K234)</f>
        <v>1196949.57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360322.03</v>
      </c>
      <c r="G235" s="18">
        <v>187554.08</v>
      </c>
      <c r="H235" s="18">
        <v>14526.51</v>
      </c>
      <c r="I235" s="18">
        <v>43018.73</v>
      </c>
      <c r="J235" s="18">
        <v>4511.17</v>
      </c>
      <c r="K235" s="18">
        <v>985</v>
      </c>
      <c r="L235" s="19">
        <f>SUM(F235:K235)</f>
        <v>610917.52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149128.78</v>
      </c>
      <c r="G236" s="18">
        <v>40557.410000000003</v>
      </c>
      <c r="H236" s="18">
        <v>43482.28</v>
      </c>
      <c r="I236" s="18">
        <v>37468.53</v>
      </c>
      <c r="J236" s="18">
        <v>9631</v>
      </c>
      <c r="K236" s="18">
        <v>12961.65</v>
      </c>
      <c r="L236" s="19">
        <f>SUM(F236:K236)</f>
        <v>293229.65000000002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306791.71000000002</v>
      </c>
      <c r="G238" s="18">
        <v>117572.26</v>
      </c>
      <c r="H238" s="18">
        <v>43425.86</v>
      </c>
      <c r="I238" s="18">
        <v>1191.8699999999999</v>
      </c>
      <c r="J238" s="18"/>
      <c r="K238" s="18">
        <v>14070</v>
      </c>
      <c r="L238" s="19">
        <f t="shared" ref="L238:L244" si="4">SUM(F238:K238)</f>
        <v>483051.7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137867.84</v>
      </c>
      <c r="G239" s="18">
        <v>67306.52</v>
      </c>
      <c r="H239" s="18">
        <v>80136.5</v>
      </c>
      <c r="I239" s="18">
        <v>39157.589999999997</v>
      </c>
      <c r="J239" s="18">
        <v>30634.16</v>
      </c>
      <c r="K239" s="18">
        <v>6436.11</v>
      </c>
      <c r="L239" s="19">
        <f t="shared" si="4"/>
        <v>361538.71999999991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3574.83</v>
      </c>
      <c r="G240" s="18">
        <v>299.98</v>
      </c>
      <c r="H240" s="18">
        <v>264823.21999999997</v>
      </c>
      <c r="I240" s="18">
        <v>1261.7</v>
      </c>
      <c r="J240" s="18"/>
      <c r="K240" s="18">
        <v>3093.02</v>
      </c>
      <c r="L240" s="19">
        <f t="shared" si="4"/>
        <v>273052.75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366176.89</v>
      </c>
      <c r="G241" s="18">
        <v>181898.38</v>
      </c>
      <c r="H241" s="18">
        <v>34219.300000000003</v>
      </c>
      <c r="I241" s="18">
        <v>12604.38</v>
      </c>
      <c r="J241" s="18">
        <v>4014.35</v>
      </c>
      <c r="K241" s="18">
        <v>2204.9699999999998</v>
      </c>
      <c r="L241" s="19">
        <f t="shared" si="4"/>
        <v>601118.27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118489.07</v>
      </c>
      <c r="G243" s="18">
        <v>65450.5</v>
      </c>
      <c r="H243" s="18">
        <v>104156.17</v>
      </c>
      <c r="I243" s="18">
        <v>250146.46</v>
      </c>
      <c r="J243" s="18">
        <v>3028.42</v>
      </c>
      <c r="K243" s="18"/>
      <c r="L243" s="19">
        <f t="shared" si="4"/>
        <v>541270.62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102323.62</v>
      </c>
      <c r="G244" s="18">
        <v>17204.77</v>
      </c>
      <c r="H244" s="18">
        <v>95432.62</v>
      </c>
      <c r="I244" s="18">
        <v>26554.46</v>
      </c>
      <c r="J244" s="18"/>
      <c r="K244" s="18">
        <v>311.77999999999997</v>
      </c>
      <c r="L244" s="19">
        <f t="shared" si="4"/>
        <v>241827.25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2946795.1100000003</v>
      </c>
      <c r="G247" s="41">
        <f t="shared" si="5"/>
        <v>1521923.8199999998</v>
      </c>
      <c r="H247" s="41">
        <f t="shared" si="5"/>
        <v>1425069.75</v>
      </c>
      <c r="I247" s="41">
        <f t="shared" si="5"/>
        <v>546299.6</v>
      </c>
      <c r="J247" s="41">
        <f t="shared" si="5"/>
        <v>54681.2</v>
      </c>
      <c r="K247" s="41">
        <f t="shared" si="5"/>
        <v>43941.509999999995</v>
      </c>
      <c r="L247" s="41">
        <f t="shared" si="5"/>
        <v>6538710.9899999993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7327934.9000000013</v>
      </c>
      <c r="G257" s="41">
        <f t="shared" si="8"/>
        <v>3576317.45</v>
      </c>
      <c r="H257" s="41">
        <f t="shared" si="8"/>
        <v>3372919.2199999997</v>
      </c>
      <c r="I257" s="41">
        <f t="shared" si="8"/>
        <v>973338.38</v>
      </c>
      <c r="J257" s="41">
        <f t="shared" si="8"/>
        <v>105341.37</v>
      </c>
      <c r="K257" s="41">
        <f t="shared" si="8"/>
        <v>57859.959999999992</v>
      </c>
      <c r="L257" s="41">
        <f t="shared" si="8"/>
        <v>15413711.280000001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510000</v>
      </c>
      <c r="L260" s="19">
        <f>SUM(F260:K260)</f>
        <v>510000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351912.5</v>
      </c>
      <c r="L261" s="19">
        <f>SUM(F261:K261)</f>
        <v>351912.5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10000</v>
      </c>
      <c r="L266" s="19">
        <f t="shared" si="9"/>
        <v>10000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871912.5</v>
      </c>
      <c r="L270" s="41">
        <f t="shared" si="9"/>
        <v>871912.5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7327934.9000000013</v>
      </c>
      <c r="G271" s="42">
        <f t="shared" si="11"/>
        <v>3576317.45</v>
      </c>
      <c r="H271" s="42">
        <f t="shared" si="11"/>
        <v>3372919.2199999997</v>
      </c>
      <c r="I271" s="42">
        <f t="shared" si="11"/>
        <v>973338.38</v>
      </c>
      <c r="J271" s="42">
        <f t="shared" si="11"/>
        <v>105341.37</v>
      </c>
      <c r="K271" s="42">
        <f t="shared" si="11"/>
        <v>929772.46</v>
      </c>
      <c r="L271" s="42">
        <f t="shared" si="11"/>
        <v>16285623.780000001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342207.57</v>
      </c>
      <c r="G276" s="18">
        <v>132906.96</v>
      </c>
      <c r="H276" s="18">
        <v>22586.400000000001</v>
      </c>
      <c r="I276" s="18">
        <v>15666.7</v>
      </c>
      <c r="J276" s="18">
        <v>4717.34</v>
      </c>
      <c r="K276" s="18">
        <v>33.97</v>
      </c>
      <c r="L276" s="19">
        <f>SUM(F276:K276)</f>
        <v>518118.94000000006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82665.78</v>
      </c>
      <c r="G277" s="18"/>
      <c r="H277" s="18"/>
      <c r="I277" s="18">
        <v>1322.97</v>
      </c>
      <c r="J277" s="18"/>
      <c r="K277" s="18"/>
      <c r="L277" s="19">
        <f>SUM(F277:K277)</f>
        <v>83988.75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52643.05</v>
      </c>
      <c r="G281" s="18">
        <v>10792.1</v>
      </c>
      <c r="H281" s="18">
        <v>44773.88</v>
      </c>
      <c r="I281" s="18">
        <v>2357.0300000000002</v>
      </c>
      <c r="J281" s="18">
        <v>743.93</v>
      </c>
      <c r="K281" s="18">
        <v>3233.18</v>
      </c>
      <c r="L281" s="19">
        <f t="shared" ref="L281:L287" si="12">SUM(F281:K281)</f>
        <v>114543.16999999998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84.92</v>
      </c>
      <c r="G282" s="18">
        <v>150.02000000000001</v>
      </c>
      <c r="H282" s="18">
        <v>28996.35</v>
      </c>
      <c r="I282" s="18"/>
      <c r="J282" s="18"/>
      <c r="K282" s="18"/>
      <c r="L282" s="19">
        <f t="shared" si="12"/>
        <v>29231.289999999997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>
        <v>2180.21</v>
      </c>
      <c r="I283" s="18"/>
      <c r="J283" s="18"/>
      <c r="K283" s="18">
        <v>1744.67</v>
      </c>
      <c r="L283" s="19">
        <f t="shared" si="12"/>
        <v>3924.88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477601.31999999995</v>
      </c>
      <c r="G290" s="42">
        <f t="shared" si="13"/>
        <v>143849.07999999999</v>
      </c>
      <c r="H290" s="42">
        <f t="shared" si="13"/>
        <v>98536.840000000011</v>
      </c>
      <c r="I290" s="42">
        <f t="shared" si="13"/>
        <v>19346.7</v>
      </c>
      <c r="J290" s="42">
        <f t="shared" si="13"/>
        <v>5461.27</v>
      </c>
      <c r="K290" s="42">
        <f t="shared" si="13"/>
        <v>5011.82</v>
      </c>
      <c r="L290" s="41">
        <f t="shared" si="13"/>
        <v>749807.03000000014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538.29</v>
      </c>
      <c r="G295" s="18">
        <v>38.770000000000003</v>
      </c>
      <c r="H295" s="18"/>
      <c r="I295" s="18">
        <v>170.58</v>
      </c>
      <c r="J295" s="18">
        <v>4693.1400000000003</v>
      </c>
      <c r="K295" s="18">
        <v>9.7200000000000006</v>
      </c>
      <c r="L295" s="19">
        <f>SUM(F295:K295)</f>
        <v>5450.5000000000009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23660.52</v>
      </c>
      <c r="G296" s="18"/>
      <c r="H296" s="18"/>
      <c r="I296" s="18">
        <v>306.61</v>
      </c>
      <c r="J296" s="18"/>
      <c r="K296" s="18"/>
      <c r="L296" s="19">
        <f>SUM(F296:K296)</f>
        <v>23967.13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12870.7</v>
      </c>
      <c r="G300" s="18">
        <v>4348.7299999999996</v>
      </c>
      <c r="H300" s="18">
        <v>12815.13</v>
      </c>
      <c r="I300" s="18">
        <v>674.63</v>
      </c>
      <c r="J300" s="18">
        <v>212.93</v>
      </c>
      <c r="K300" s="18">
        <v>11.79</v>
      </c>
      <c r="L300" s="19">
        <f t="shared" ref="L300:L306" si="14">SUM(F300:K300)</f>
        <v>30933.91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24.3</v>
      </c>
      <c r="G301" s="18">
        <v>42.94</v>
      </c>
      <c r="H301" s="18">
        <v>8299.31</v>
      </c>
      <c r="I301" s="18"/>
      <c r="J301" s="18"/>
      <c r="K301" s="18"/>
      <c r="L301" s="19">
        <f t="shared" si="14"/>
        <v>8366.5499999999993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>
        <v>624.02</v>
      </c>
      <c r="I302" s="18"/>
      <c r="J302" s="18"/>
      <c r="K302" s="18">
        <v>499.36</v>
      </c>
      <c r="L302" s="19">
        <f t="shared" si="14"/>
        <v>1123.3800000000001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37093.810000000005</v>
      </c>
      <c r="G309" s="42">
        <f t="shared" si="15"/>
        <v>4430.4399999999996</v>
      </c>
      <c r="H309" s="42">
        <f t="shared" si="15"/>
        <v>21738.46</v>
      </c>
      <c r="I309" s="42">
        <f t="shared" si="15"/>
        <v>1151.8200000000002</v>
      </c>
      <c r="J309" s="42">
        <f t="shared" si="15"/>
        <v>4906.0700000000006</v>
      </c>
      <c r="K309" s="42">
        <f t="shared" si="15"/>
        <v>520.87</v>
      </c>
      <c r="L309" s="41">
        <f t="shared" si="15"/>
        <v>69841.47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1456.04</v>
      </c>
      <c r="G314" s="18">
        <v>104.88</v>
      </c>
      <c r="H314" s="18">
        <v>14078.58</v>
      </c>
      <c r="I314" s="18"/>
      <c r="J314" s="18"/>
      <c r="K314" s="18">
        <v>26.3</v>
      </c>
      <c r="L314" s="19">
        <f>SUM(F314:K314)</f>
        <v>15665.8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64000.94</v>
      </c>
      <c r="G315" s="18"/>
      <c r="H315" s="18"/>
      <c r="I315" s="18">
        <v>829.37</v>
      </c>
      <c r="J315" s="18"/>
      <c r="K315" s="18"/>
      <c r="L315" s="19">
        <f>SUM(F315:K315)</f>
        <v>64830.310000000005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>
        <v>1560</v>
      </c>
      <c r="I316" s="18">
        <v>7570.42</v>
      </c>
      <c r="J316" s="18">
        <v>6185.33</v>
      </c>
      <c r="K316" s="18">
        <v>1408.01</v>
      </c>
      <c r="L316" s="19">
        <f>SUM(F316:K316)</f>
        <v>16723.759999999998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42789.86</v>
      </c>
      <c r="G319" s="18">
        <v>9698.98</v>
      </c>
      <c r="H319" s="18">
        <v>34664.53</v>
      </c>
      <c r="I319" s="18">
        <v>1824.85</v>
      </c>
      <c r="J319" s="18">
        <v>575.96</v>
      </c>
      <c r="K319" s="18">
        <v>31.88</v>
      </c>
      <c r="L319" s="19">
        <f t="shared" ref="L319:L325" si="16">SUM(F319:K319)</f>
        <v>89586.060000000012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2065.7600000000002</v>
      </c>
      <c r="G320" s="18">
        <v>555.36</v>
      </c>
      <c r="H320" s="18">
        <v>35877.919999999998</v>
      </c>
      <c r="I320" s="18"/>
      <c r="J320" s="18"/>
      <c r="K320" s="18">
        <v>90</v>
      </c>
      <c r="L320" s="19">
        <f t="shared" si="16"/>
        <v>38589.040000000001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>
        <v>1687.95</v>
      </c>
      <c r="I321" s="18"/>
      <c r="J321" s="18"/>
      <c r="K321" s="18">
        <v>1621.22</v>
      </c>
      <c r="L321" s="19">
        <f t="shared" si="16"/>
        <v>3309.17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110312.59999999999</v>
      </c>
      <c r="G328" s="42">
        <f t="shared" si="17"/>
        <v>10359.219999999999</v>
      </c>
      <c r="H328" s="42">
        <f t="shared" si="17"/>
        <v>87868.98</v>
      </c>
      <c r="I328" s="42">
        <f t="shared" si="17"/>
        <v>10224.640000000001</v>
      </c>
      <c r="J328" s="42">
        <f t="shared" si="17"/>
        <v>6761.29</v>
      </c>
      <c r="K328" s="42">
        <f t="shared" si="17"/>
        <v>3177.41</v>
      </c>
      <c r="L328" s="41">
        <f t="shared" si="17"/>
        <v>228704.14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625007.73</v>
      </c>
      <c r="G338" s="41">
        <f t="shared" si="20"/>
        <v>158638.74</v>
      </c>
      <c r="H338" s="41">
        <f t="shared" si="20"/>
        <v>208144.28000000003</v>
      </c>
      <c r="I338" s="41">
        <f t="shared" si="20"/>
        <v>30723.160000000003</v>
      </c>
      <c r="J338" s="41">
        <f t="shared" si="20"/>
        <v>17128.63</v>
      </c>
      <c r="K338" s="41">
        <f t="shared" si="20"/>
        <v>8710.0999999999985</v>
      </c>
      <c r="L338" s="41">
        <f t="shared" si="20"/>
        <v>1048352.6400000001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625007.73</v>
      </c>
      <c r="G352" s="41">
        <f>G338</f>
        <v>158638.74</v>
      </c>
      <c r="H352" s="41">
        <f>H338</f>
        <v>208144.28000000003</v>
      </c>
      <c r="I352" s="41">
        <f>I338</f>
        <v>30723.160000000003</v>
      </c>
      <c r="J352" s="41">
        <f>J338</f>
        <v>17128.63</v>
      </c>
      <c r="K352" s="47">
        <f>K338+K351</f>
        <v>8710.0999999999985</v>
      </c>
      <c r="L352" s="41">
        <f>L338+L351</f>
        <v>1048352.6400000001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190272.62</v>
      </c>
      <c r="I358" s="18">
        <v>32289.22</v>
      </c>
      <c r="J358" s="18"/>
      <c r="K358" s="18"/>
      <c r="L358" s="13">
        <f>SUM(F358:K358)</f>
        <v>222561.84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>
        <v>50827.46</v>
      </c>
      <c r="I359" s="18">
        <v>3741.69</v>
      </c>
      <c r="J359" s="18"/>
      <c r="K359" s="18"/>
      <c r="L359" s="19">
        <f>SUM(F359:K359)</f>
        <v>54569.15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>
        <v>137486.67000000001</v>
      </c>
      <c r="I360" s="18">
        <v>10121.14</v>
      </c>
      <c r="J360" s="18"/>
      <c r="K360" s="18"/>
      <c r="L360" s="19">
        <f>SUM(F360:K360)</f>
        <v>147607.81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378586.75</v>
      </c>
      <c r="I362" s="47">
        <f t="shared" si="22"/>
        <v>46152.05</v>
      </c>
      <c r="J362" s="47">
        <f t="shared" si="22"/>
        <v>0</v>
      </c>
      <c r="K362" s="47">
        <f t="shared" si="22"/>
        <v>0</v>
      </c>
      <c r="L362" s="47">
        <f t="shared" si="22"/>
        <v>424738.8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30130.07</v>
      </c>
      <c r="G367" s="18">
        <v>3337.2</v>
      </c>
      <c r="H367" s="18">
        <v>9027.01</v>
      </c>
      <c r="I367" s="56">
        <f>SUM(F367:H367)</f>
        <v>42494.28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2159.13</v>
      </c>
      <c r="G368" s="63">
        <v>404.5</v>
      </c>
      <c r="H368" s="63">
        <v>1094.1400000000001</v>
      </c>
      <c r="I368" s="56">
        <f>SUM(F368:H368)</f>
        <v>3657.7700000000004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32289.200000000001</v>
      </c>
      <c r="G369" s="47">
        <f>SUM(G367:G368)</f>
        <v>3741.7</v>
      </c>
      <c r="H369" s="47">
        <f>SUM(H367:H368)</f>
        <v>10121.15</v>
      </c>
      <c r="I369" s="47">
        <f>SUM(I367:I368)</f>
        <v>46152.05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>
        <v>1444.09</v>
      </c>
      <c r="I389" s="18"/>
      <c r="J389" s="24" t="s">
        <v>289</v>
      </c>
      <c r="K389" s="24" t="s">
        <v>289</v>
      </c>
      <c r="L389" s="56">
        <f t="shared" si="25"/>
        <v>1444.09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>
        <v>1090.24</v>
      </c>
      <c r="I390" s="18"/>
      <c r="J390" s="24" t="s">
        <v>289</v>
      </c>
      <c r="K390" s="24" t="s">
        <v>289</v>
      </c>
      <c r="L390" s="56">
        <f t="shared" si="25"/>
        <v>1090.24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>
        <v>10000</v>
      </c>
      <c r="H391" s="18"/>
      <c r="I391" s="18"/>
      <c r="J391" s="24" t="s">
        <v>289</v>
      </c>
      <c r="K391" s="24" t="s">
        <v>289</v>
      </c>
      <c r="L391" s="56">
        <f t="shared" si="25"/>
        <v>10000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10000</v>
      </c>
      <c r="H393" s="139">
        <f>SUM(H387:H392)</f>
        <v>2534.33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12534.33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10772.27</v>
      </c>
      <c r="I397" s="18"/>
      <c r="J397" s="24" t="s">
        <v>289</v>
      </c>
      <c r="K397" s="24" t="s">
        <v>289</v>
      </c>
      <c r="L397" s="56">
        <f t="shared" si="26"/>
        <v>10772.27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10772.27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10772.27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10000</v>
      </c>
      <c r="H408" s="47">
        <f>H393+H401+H407</f>
        <v>13306.6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23306.6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997666.91</v>
      </c>
      <c r="G440" s="18"/>
      <c r="H440" s="18"/>
      <c r="I440" s="56">
        <f t="shared" si="33"/>
        <v>997666.91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997666.91</v>
      </c>
      <c r="G446" s="13">
        <f>SUM(G439:G445)</f>
        <v>0</v>
      </c>
      <c r="H446" s="13">
        <f>SUM(H439:H445)</f>
        <v>0</v>
      </c>
      <c r="I446" s="13">
        <f>SUM(I439:I445)</f>
        <v>997666.91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997666.91</v>
      </c>
      <c r="G459" s="18"/>
      <c r="H459" s="18"/>
      <c r="I459" s="56">
        <f t="shared" si="34"/>
        <v>997666.91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997666.91</v>
      </c>
      <c r="G460" s="83">
        <f>SUM(G454:G459)</f>
        <v>0</v>
      </c>
      <c r="H460" s="83">
        <f>SUM(H454:H459)</f>
        <v>0</v>
      </c>
      <c r="I460" s="83">
        <f>SUM(I454:I459)</f>
        <v>997666.91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997666.91</v>
      </c>
      <c r="G461" s="42">
        <f>G452+G460</f>
        <v>0</v>
      </c>
      <c r="H461" s="42">
        <f>H452+H460</f>
        <v>0</v>
      </c>
      <c r="I461" s="42">
        <f>I452+I460</f>
        <v>997666.91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890000.28</v>
      </c>
      <c r="G465" s="18">
        <v>11715.48</v>
      </c>
      <c r="H465" s="18"/>
      <c r="I465" s="18"/>
      <c r="J465" s="18">
        <v>974705.36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15581093.76</v>
      </c>
      <c r="G468" s="18">
        <v>424440.51</v>
      </c>
      <c r="H468" s="18">
        <v>1048352.64</v>
      </c>
      <c r="I468" s="18"/>
      <c r="J468" s="18">
        <v>23306.6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15581093.76</v>
      </c>
      <c r="G470" s="53">
        <f>SUM(G468:G469)</f>
        <v>424440.51</v>
      </c>
      <c r="H470" s="53">
        <f>SUM(H468:H469)</f>
        <v>1048352.64</v>
      </c>
      <c r="I470" s="53">
        <f>SUM(I468:I469)</f>
        <v>0</v>
      </c>
      <c r="J470" s="53">
        <f>SUM(J468:J469)</f>
        <v>23306.6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16285623.779999999</v>
      </c>
      <c r="G472" s="18">
        <v>424738.8</v>
      </c>
      <c r="H472" s="18">
        <v>1048352.64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>
        <v>345.05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16285623.779999999</v>
      </c>
      <c r="G474" s="53">
        <f>SUM(G472:G473)</f>
        <v>424738.8</v>
      </c>
      <c r="H474" s="53">
        <f>SUM(H472:H473)</f>
        <v>1048352.64</v>
      </c>
      <c r="I474" s="53">
        <f>SUM(I472:I473)</f>
        <v>0</v>
      </c>
      <c r="J474" s="53">
        <f>SUM(J472:J473)</f>
        <v>345.05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185470.25999999978</v>
      </c>
      <c r="G476" s="53">
        <f>(G465+G470)- G474</f>
        <v>11417.190000000002</v>
      </c>
      <c r="H476" s="53">
        <f>(H465+H470)- H474</f>
        <v>0</v>
      </c>
      <c r="I476" s="53">
        <f>(I465+I470)- I474</f>
        <v>0</v>
      </c>
      <c r="J476" s="53">
        <f>(J465+J470)- J474</f>
        <v>997666.90999999992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911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10156000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4.57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7610000</v>
      </c>
      <c r="G495" s="18"/>
      <c r="H495" s="18"/>
      <c r="I495" s="18"/>
      <c r="J495" s="18"/>
      <c r="K495" s="53">
        <f>SUM(F495:J495)</f>
        <v>7610000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510000</v>
      </c>
      <c r="G497" s="18"/>
      <c r="H497" s="18"/>
      <c r="I497" s="18"/>
      <c r="J497" s="18"/>
      <c r="K497" s="53">
        <f t="shared" si="35"/>
        <v>510000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7100000</v>
      </c>
      <c r="G498" s="204"/>
      <c r="H498" s="204"/>
      <c r="I498" s="204"/>
      <c r="J498" s="204"/>
      <c r="K498" s="205">
        <f t="shared" si="35"/>
        <v>7100000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170537.5</v>
      </c>
      <c r="G499" s="18"/>
      <c r="H499" s="18"/>
      <c r="I499" s="18"/>
      <c r="J499" s="18"/>
      <c r="K499" s="53">
        <f t="shared" si="35"/>
        <v>170537.5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7270537.5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7270537.5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510000</v>
      </c>
      <c r="G501" s="204"/>
      <c r="H501" s="204"/>
      <c r="I501" s="204"/>
      <c r="J501" s="204"/>
      <c r="K501" s="205">
        <f t="shared" si="35"/>
        <v>510000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330237.5</v>
      </c>
      <c r="G502" s="18"/>
      <c r="H502" s="18"/>
      <c r="I502" s="18"/>
      <c r="J502" s="18"/>
      <c r="K502" s="53">
        <f t="shared" si="35"/>
        <v>330237.5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840237.5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840237.5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796274.06</v>
      </c>
      <c r="G521" s="18">
        <v>240261.78</v>
      </c>
      <c r="H521" s="18">
        <v>285317.31</v>
      </c>
      <c r="I521" s="18">
        <v>6916.85</v>
      </c>
      <c r="J521" s="18">
        <v>1084.56</v>
      </c>
      <c r="K521" s="18">
        <v>1277.4000000000001</v>
      </c>
      <c r="L521" s="88">
        <f>SUM(F521:K521)</f>
        <v>1331131.9600000002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191103</v>
      </c>
      <c r="G522" s="18">
        <v>70358.820000000007</v>
      </c>
      <c r="H522" s="18">
        <v>337009.84</v>
      </c>
      <c r="I522" s="18">
        <v>668.34</v>
      </c>
      <c r="J522" s="18">
        <v>667.29</v>
      </c>
      <c r="K522" s="18">
        <v>365.62</v>
      </c>
      <c r="L522" s="88">
        <f>SUM(F522:K522)</f>
        <v>600172.91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266833.77</v>
      </c>
      <c r="G523" s="18">
        <v>180963.25</v>
      </c>
      <c r="H523" s="18">
        <v>705139.83</v>
      </c>
      <c r="I523" s="18">
        <v>3652.68</v>
      </c>
      <c r="J523" s="18">
        <v>298.99</v>
      </c>
      <c r="K523" s="18">
        <v>988.98</v>
      </c>
      <c r="L523" s="88">
        <f>SUM(F523:K523)</f>
        <v>1157877.5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 t="shared" ref="F524:K524" si="36">SUM(F521:F523)</f>
        <v>1254210.83</v>
      </c>
      <c r="G524" s="108">
        <f t="shared" si="36"/>
        <v>491583.85</v>
      </c>
      <c r="H524" s="108">
        <f t="shared" si="36"/>
        <v>1327466.98</v>
      </c>
      <c r="I524" s="108">
        <f t="shared" si="36"/>
        <v>11237.87</v>
      </c>
      <c r="J524" s="108">
        <f t="shared" si="36"/>
        <v>2050.84</v>
      </c>
      <c r="K524" s="108">
        <f t="shared" si="36"/>
        <v>2632</v>
      </c>
      <c r="L524" s="89">
        <f t="shared" ref="L524" si="37">SUM(L521:L523)</f>
        <v>3089182.37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179342.95</v>
      </c>
      <c r="G526" s="18">
        <v>80567.64</v>
      </c>
      <c r="H526" s="18">
        <v>312931.48</v>
      </c>
      <c r="I526" s="18">
        <v>4259.37</v>
      </c>
      <c r="J526" s="18"/>
      <c r="K526" s="18"/>
      <c r="L526" s="88">
        <f>SUM(F526:K526)</f>
        <v>577101.44000000006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45532.85</v>
      </c>
      <c r="G527" s="18">
        <v>10177.39</v>
      </c>
      <c r="H527" s="18">
        <v>71748.86</v>
      </c>
      <c r="I527" s="18">
        <v>122.7</v>
      </c>
      <c r="J527" s="18"/>
      <c r="K527" s="18"/>
      <c r="L527" s="88">
        <f>SUM(F527:K527)</f>
        <v>127581.8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149171.07</v>
      </c>
      <c r="G528" s="18">
        <v>24732.22</v>
      </c>
      <c r="H528" s="18">
        <v>21600.78</v>
      </c>
      <c r="I528" s="18">
        <v>331.89</v>
      </c>
      <c r="J528" s="18"/>
      <c r="K528" s="18"/>
      <c r="L528" s="88">
        <f>SUM(F528:K528)</f>
        <v>195835.96000000002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374046.87</v>
      </c>
      <c r="G529" s="89">
        <f t="shared" ref="G529:L529" si="38">SUM(G526:G528)</f>
        <v>115477.25</v>
      </c>
      <c r="H529" s="89">
        <f t="shared" si="38"/>
        <v>406281.12</v>
      </c>
      <c r="I529" s="89">
        <f t="shared" si="38"/>
        <v>4713.96</v>
      </c>
      <c r="J529" s="89">
        <f t="shared" si="38"/>
        <v>0</v>
      </c>
      <c r="K529" s="89">
        <f t="shared" si="38"/>
        <v>0</v>
      </c>
      <c r="L529" s="89">
        <f t="shared" si="38"/>
        <v>900519.20000000019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68329.600000000006</v>
      </c>
      <c r="G531" s="18">
        <v>24995.41</v>
      </c>
      <c r="H531" s="18"/>
      <c r="I531" s="18"/>
      <c r="J531" s="18"/>
      <c r="K531" s="18"/>
      <c r="L531" s="88">
        <f>SUM(F531:K531)</f>
        <v>93325.010000000009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19556.93</v>
      </c>
      <c r="G532" s="18">
        <v>7154.06</v>
      </c>
      <c r="H532" s="18"/>
      <c r="I532" s="18"/>
      <c r="J532" s="18"/>
      <c r="K532" s="18"/>
      <c r="L532" s="88">
        <f>SUM(F532:K532)</f>
        <v>26710.99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52912.15</v>
      </c>
      <c r="G533" s="18">
        <v>19355.61</v>
      </c>
      <c r="H533" s="18"/>
      <c r="I533" s="18"/>
      <c r="J533" s="18"/>
      <c r="K533" s="18"/>
      <c r="L533" s="88">
        <f>SUM(F533:K533)</f>
        <v>72267.760000000009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140798.68</v>
      </c>
      <c r="G534" s="89">
        <f t="shared" ref="G534:L534" si="39">SUM(G531:G533)</f>
        <v>51505.08</v>
      </c>
      <c r="H534" s="89">
        <f t="shared" si="39"/>
        <v>0</v>
      </c>
      <c r="I534" s="89">
        <f t="shared" si="39"/>
        <v>0</v>
      </c>
      <c r="J534" s="89">
        <f t="shared" si="39"/>
        <v>0</v>
      </c>
      <c r="K534" s="89">
        <f t="shared" si="39"/>
        <v>0</v>
      </c>
      <c r="L534" s="89">
        <f t="shared" si="39"/>
        <v>192303.76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40">SUM(G536:G538)</f>
        <v>0</v>
      </c>
      <c r="H539" s="89">
        <f t="shared" si="40"/>
        <v>0</v>
      </c>
      <c r="I539" s="89">
        <f t="shared" si="40"/>
        <v>0</v>
      </c>
      <c r="J539" s="89">
        <f t="shared" si="40"/>
        <v>0</v>
      </c>
      <c r="K539" s="89">
        <f t="shared" si="40"/>
        <v>0</v>
      </c>
      <c r="L539" s="89">
        <f t="shared" si="40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41023.480000000003</v>
      </c>
      <c r="G541" s="18">
        <v>7074.15</v>
      </c>
      <c r="H541" s="18">
        <v>108949.17</v>
      </c>
      <c r="I541" s="18">
        <v>12727</v>
      </c>
      <c r="J541" s="18"/>
      <c r="K541" s="18"/>
      <c r="L541" s="88">
        <f>SUM(F541:K541)</f>
        <v>169773.8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>
        <v>11466.93</v>
      </c>
      <c r="G542" s="18">
        <v>2024.76</v>
      </c>
      <c r="H542" s="18">
        <v>53821.85</v>
      </c>
      <c r="I542" s="18">
        <v>3642.71</v>
      </c>
      <c r="J542" s="18"/>
      <c r="K542" s="18"/>
      <c r="L542" s="88">
        <f>SUM(F542:K542)</f>
        <v>70956.25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31017.69</v>
      </c>
      <c r="G543" s="18">
        <v>5476.9</v>
      </c>
      <c r="H543" s="18">
        <v>77184.94</v>
      </c>
      <c r="I543" s="18">
        <v>10018.76</v>
      </c>
      <c r="J543" s="18"/>
      <c r="K543" s="18"/>
      <c r="L543" s="88">
        <f>SUM(F543:K543)</f>
        <v>123698.29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83508.100000000006</v>
      </c>
      <c r="G544" s="193">
        <f t="shared" ref="G544:L544" si="41">SUM(G541:G543)</f>
        <v>14575.81</v>
      </c>
      <c r="H544" s="193">
        <f t="shared" si="41"/>
        <v>239955.96</v>
      </c>
      <c r="I544" s="193">
        <f t="shared" si="41"/>
        <v>26388.47</v>
      </c>
      <c r="J544" s="193">
        <f t="shared" si="41"/>
        <v>0</v>
      </c>
      <c r="K544" s="193">
        <f t="shared" si="41"/>
        <v>0</v>
      </c>
      <c r="L544" s="193">
        <f t="shared" si="41"/>
        <v>364428.33999999997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1852564.4800000002</v>
      </c>
      <c r="G545" s="89">
        <f t="shared" ref="G545:L545" si="42">G524+G529+G534+G539+G544</f>
        <v>673141.99</v>
      </c>
      <c r="H545" s="89">
        <f t="shared" si="42"/>
        <v>1973704.06</v>
      </c>
      <c r="I545" s="89">
        <f t="shared" si="42"/>
        <v>42340.3</v>
      </c>
      <c r="J545" s="89">
        <f t="shared" si="42"/>
        <v>2050.84</v>
      </c>
      <c r="K545" s="89">
        <f t="shared" si="42"/>
        <v>2632</v>
      </c>
      <c r="L545" s="89">
        <f t="shared" si="42"/>
        <v>4546433.67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1331131.9600000002</v>
      </c>
      <c r="G549" s="87">
        <f>L526</f>
        <v>577101.44000000006</v>
      </c>
      <c r="H549" s="87">
        <f>L531</f>
        <v>93325.010000000009</v>
      </c>
      <c r="I549" s="87">
        <f>L536</f>
        <v>0</v>
      </c>
      <c r="J549" s="87">
        <f>L541</f>
        <v>169773.8</v>
      </c>
      <c r="K549" s="87">
        <f>SUM(F549:J549)</f>
        <v>2171332.2100000004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600172.91</v>
      </c>
      <c r="G550" s="87">
        <f>L527</f>
        <v>127581.8</v>
      </c>
      <c r="H550" s="87">
        <f>L532</f>
        <v>26710.99</v>
      </c>
      <c r="I550" s="87">
        <f>L537</f>
        <v>0</v>
      </c>
      <c r="J550" s="87">
        <f>L542</f>
        <v>70956.25</v>
      </c>
      <c r="K550" s="87">
        <f>SUM(F550:J550)</f>
        <v>825421.95000000007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1157877.5</v>
      </c>
      <c r="G551" s="87">
        <f>L528</f>
        <v>195835.96000000002</v>
      </c>
      <c r="H551" s="87">
        <f>L533</f>
        <v>72267.760000000009</v>
      </c>
      <c r="I551" s="87">
        <f>L538</f>
        <v>0</v>
      </c>
      <c r="J551" s="87">
        <f>L543</f>
        <v>123698.29</v>
      </c>
      <c r="K551" s="87">
        <f>SUM(F551:J551)</f>
        <v>1549679.51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3">SUM(F549:F551)</f>
        <v>3089182.37</v>
      </c>
      <c r="G552" s="89">
        <f t="shared" si="43"/>
        <v>900519.20000000019</v>
      </c>
      <c r="H552" s="89">
        <f t="shared" si="43"/>
        <v>192303.76</v>
      </c>
      <c r="I552" s="89">
        <f t="shared" si="43"/>
        <v>0</v>
      </c>
      <c r="J552" s="89">
        <f t="shared" si="43"/>
        <v>364428.33999999997</v>
      </c>
      <c r="K552" s="89">
        <f t="shared" si="43"/>
        <v>4546433.6700000009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4">SUM(F557:F559)</f>
        <v>0</v>
      </c>
      <c r="G560" s="108">
        <f t="shared" si="44"/>
        <v>0</v>
      </c>
      <c r="H560" s="108">
        <f t="shared" si="44"/>
        <v>0</v>
      </c>
      <c r="I560" s="108">
        <f t="shared" si="44"/>
        <v>0</v>
      </c>
      <c r="J560" s="108">
        <f t="shared" si="44"/>
        <v>0</v>
      </c>
      <c r="K560" s="108">
        <f t="shared" si="44"/>
        <v>0</v>
      </c>
      <c r="L560" s="89">
        <f t="shared" si="44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16772.88</v>
      </c>
      <c r="G562" s="18">
        <v>2150.39</v>
      </c>
      <c r="H562" s="18"/>
      <c r="I562" s="18"/>
      <c r="J562" s="18"/>
      <c r="K562" s="18"/>
      <c r="L562" s="88">
        <f>SUM(F562:K562)</f>
        <v>18923.27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4800.72</v>
      </c>
      <c r="G563" s="18">
        <v>615.48</v>
      </c>
      <c r="H563" s="18"/>
      <c r="I563" s="18"/>
      <c r="J563" s="18"/>
      <c r="K563" s="18"/>
      <c r="L563" s="88">
        <f>SUM(F563:K563)</f>
        <v>5416.2000000000007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12985.78</v>
      </c>
      <c r="G564" s="18">
        <v>1664.86</v>
      </c>
      <c r="H564" s="18"/>
      <c r="I564" s="18"/>
      <c r="J564" s="18"/>
      <c r="K564" s="18"/>
      <c r="L564" s="88">
        <f>SUM(F564:K564)</f>
        <v>14650.640000000001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5">SUM(F562:F564)</f>
        <v>34559.380000000005</v>
      </c>
      <c r="G565" s="89">
        <f t="shared" si="45"/>
        <v>4430.7299999999996</v>
      </c>
      <c r="H565" s="89">
        <f t="shared" si="45"/>
        <v>0</v>
      </c>
      <c r="I565" s="89">
        <f t="shared" si="45"/>
        <v>0</v>
      </c>
      <c r="J565" s="89">
        <f t="shared" si="45"/>
        <v>0</v>
      </c>
      <c r="K565" s="89">
        <f t="shared" si="45"/>
        <v>0</v>
      </c>
      <c r="L565" s="89">
        <f t="shared" si="45"/>
        <v>38990.11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>
        <v>18592.310000000001</v>
      </c>
      <c r="I567" s="18"/>
      <c r="J567" s="18"/>
      <c r="K567" s="18"/>
      <c r="L567" s="88">
        <f>SUM(F567:K567)</f>
        <v>18592.310000000001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>
        <v>5321.47</v>
      </c>
      <c r="I568" s="18"/>
      <c r="J568" s="18"/>
      <c r="K568" s="18"/>
      <c r="L568" s="88">
        <f>SUM(F568:K568)</f>
        <v>5321.47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>
        <v>14394.41</v>
      </c>
      <c r="I569" s="18"/>
      <c r="J569" s="18"/>
      <c r="K569" s="18"/>
      <c r="L569" s="88">
        <f>SUM(F569:K569)</f>
        <v>14394.41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6">SUM(G567:G569)</f>
        <v>0</v>
      </c>
      <c r="H570" s="193">
        <f t="shared" si="46"/>
        <v>38308.19</v>
      </c>
      <c r="I570" s="193">
        <f t="shared" si="46"/>
        <v>0</v>
      </c>
      <c r="J570" s="193">
        <f t="shared" si="46"/>
        <v>0</v>
      </c>
      <c r="K570" s="193">
        <f t="shared" si="46"/>
        <v>0</v>
      </c>
      <c r="L570" s="193">
        <f t="shared" si="46"/>
        <v>38308.19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34559.380000000005</v>
      </c>
      <c r="G571" s="89">
        <f t="shared" ref="G571:L571" si="47">G560+G565+G570</f>
        <v>4430.7299999999996</v>
      </c>
      <c r="H571" s="89">
        <f t="shared" si="47"/>
        <v>38308.19</v>
      </c>
      <c r="I571" s="89">
        <f t="shared" si="47"/>
        <v>0</v>
      </c>
      <c r="J571" s="89">
        <f t="shared" si="47"/>
        <v>0</v>
      </c>
      <c r="K571" s="89">
        <f t="shared" si="47"/>
        <v>0</v>
      </c>
      <c r="L571" s="89">
        <f t="shared" si="47"/>
        <v>77298.3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13424.46</v>
      </c>
      <c r="G575" s="18"/>
      <c r="H575" s="18"/>
      <c r="I575" s="87">
        <f>SUM(F575:H575)</f>
        <v>13424.46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8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8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8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8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8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8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259409.84</v>
      </c>
      <c r="G582" s="18">
        <v>329333.82</v>
      </c>
      <c r="H582" s="18">
        <v>688106.48</v>
      </c>
      <c r="I582" s="87">
        <f t="shared" si="48"/>
        <v>1276850.1400000001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8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8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8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8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8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130286.21</v>
      </c>
      <c r="I591" s="18">
        <v>35430.81</v>
      </c>
      <c r="J591" s="18">
        <v>95839.23</v>
      </c>
      <c r="K591" s="104">
        <f t="shared" ref="K591:K597" si="49">SUM(H591:J591)</f>
        <v>261556.25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169773.81</v>
      </c>
      <c r="I592" s="18">
        <v>70956.25</v>
      </c>
      <c r="J592" s="18">
        <v>123698.28</v>
      </c>
      <c r="K592" s="104">
        <f t="shared" si="49"/>
        <v>364428.33999999997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>
        <v>84.75</v>
      </c>
      <c r="I593" s="18">
        <v>24.26</v>
      </c>
      <c r="J593" s="18">
        <v>1544.26</v>
      </c>
      <c r="K593" s="104">
        <f t="shared" si="49"/>
        <v>1653.27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2604.86</v>
      </c>
      <c r="J594" s="18">
        <v>17174.48</v>
      </c>
      <c r="K594" s="104">
        <f t="shared" si="49"/>
        <v>19779.34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4811.59</v>
      </c>
      <c r="I595" s="18">
        <v>856.09</v>
      </c>
      <c r="J595" s="18">
        <v>2391.98</v>
      </c>
      <c r="K595" s="104">
        <f t="shared" si="49"/>
        <v>8059.66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>
        <v>528.24</v>
      </c>
      <c r="I596" s="18">
        <v>151.19</v>
      </c>
      <c r="J596" s="18">
        <v>1179.02</v>
      </c>
      <c r="K596" s="104">
        <f t="shared" si="49"/>
        <v>1858.45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9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305484.60000000003</v>
      </c>
      <c r="I598" s="108">
        <f>SUM(I591:I597)</f>
        <v>110023.45999999999</v>
      </c>
      <c r="J598" s="108">
        <f>SUM(J591:J597)</f>
        <v>241827.25000000003</v>
      </c>
      <c r="K598" s="108">
        <f>SUM(K591:K597)</f>
        <v>657335.30999999994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41170.199999999997</v>
      </c>
      <c r="I604" s="18">
        <v>19857.310000000001</v>
      </c>
      <c r="J604" s="18">
        <v>61442.49</v>
      </c>
      <c r="K604" s="104">
        <f>SUM(H604:J604)</f>
        <v>122470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41170.199999999997</v>
      </c>
      <c r="I605" s="108">
        <f>SUM(I602:I604)</f>
        <v>19857.310000000001</v>
      </c>
      <c r="J605" s="108">
        <f>SUM(J602:J604)</f>
        <v>61442.49</v>
      </c>
      <c r="K605" s="108">
        <f>SUM(K602:K604)</f>
        <v>122470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57558.98</v>
      </c>
      <c r="G611" s="18">
        <v>8386.93</v>
      </c>
      <c r="H611" s="18"/>
      <c r="I611" s="18">
        <v>3590.26</v>
      </c>
      <c r="J611" s="18"/>
      <c r="K611" s="18"/>
      <c r="L611" s="88">
        <f>SUM(F611:K611)</f>
        <v>69536.17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3611.25</v>
      </c>
      <c r="G612" s="18">
        <v>497.61</v>
      </c>
      <c r="H612" s="18"/>
      <c r="I612" s="18"/>
      <c r="J612" s="18"/>
      <c r="K612" s="18"/>
      <c r="L612" s="88">
        <f>SUM(F612:K612)</f>
        <v>4108.8599999999997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31129.07</v>
      </c>
      <c r="G613" s="18">
        <v>5556.21</v>
      </c>
      <c r="H613" s="18"/>
      <c r="I613" s="18">
        <v>338.3</v>
      </c>
      <c r="J613" s="18"/>
      <c r="K613" s="18"/>
      <c r="L613" s="88">
        <f>SUM(F613:K613)</f>
        <v>37023.58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K614" si="50">SUM(F611:F613)</f>
        <v>92299.3</v>
      </c>
      <c r="G614" s="108">
        <f t="shared" si="50"/>
        <v>14440.75</v>
      </c>
      <c r="H614" s="108">
        <f t="shared" si="50"/>
        <v>0</v>
      </c>
      <c r="I614" s="108">
        <f t="shared" si="50"/>
        <v>3928.5600000000004</v>
      </c>
      <c r="J614" s="108">
        <f t="shared" si="50"/>
        <v>0</v>
      </c>
      <c r="K614" s="108">
        <f t="shared" si="50"/>
        <v>0</v>
      </c>
      <c r="L614" s="89">
        <f t="shared" ref="L614" si="51">SUM(L611:L613)</f>
        <v>110668.61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747172.49000000011</v>
      </c>
      <c r="H617" s="109">
        <f>SUM(F52)</f>
        <v>747172.49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56573.4</v>
      </c>
      <c r="H618" s="109">
        <f>SUM(G52)</f>
        <v>56573.399999999994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154096.87</v>
      </c>
      <c r="H619" s="109">
        <f>SUM(H52)</f>
        <v>154096.87000000002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997666.91</v>
      </c>
      <c r="H621" s="109">
        <f>SUM(J52)</f>
        <v>997666.91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185470.26</v>
      </c>
      <c r="H622" s="109">
        <f>F476</f>
        <v>185470.25999999978</v>
      </c>
      <c r="I622" s="121" t="s">
        <v>101</v>
      </c>
      <c r="J622" s="109">
        <f t="shared" ref="J622:J655" si="52">G622-H622</f>
        <v>2.3283064365386963E-10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11417.19</v>
      </c>
      <c r="H623" s="109">
        <f>G476</f>
        <v>11417.190000000002</v>
      </c>
      <c r="I623" s="121" t="s">
        <v>102</v>
      </c>
      <c r="J623" s="109">
        <f t="shared" si="52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2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2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997666.91</v>
      </c>
      <c r="H626" s="109">
        <f>J476</f>
        <v>997666.90999999992</v>
      </c>
      <c r="I626" s="140" t="s">
        <v>105</v>
      </c>
      <c r="J626" s="109">
        <f t="shared" si="52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15581093.76</v>
      </c>
      <c r="H627" s="104">
        <f>SUM(F468)</f>
        <v>15581093.76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424440.51</v>
      </c>
      <c r="H628" s="104">
        <f>SUM(G468)</f>
        <v>424440.51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1048352.64</v>
      </c>
      <c r="H629" s="104">
        <f>SUM(H468)</f>
        <v>1048352.64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23306.6</v>
      </c>
      <c r="H631" s="104">
        <f>SUM(J468)</f>
        <v>23306.6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16285623.780000001</v>
      </c>
      <c r="H632" s="104">
        <f>SUM(F472)</f>
        <v>16285623.779999999</v>
      </c>
      <c r="I632" s="140" t="s">
        <v>111</v>
      </c>
      <c r="J632" s="109">
        <f t="shared" si="52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1048352.6400000001</v>
      </c>
      <c r="H633" s="104">
        <f>SUM(H472)</f>
        <v>1048352.64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46152.05</v>
      </c>
      <c r="H634" s="104">
        <f>I369</f>
        <v>46152.05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424738.8</v>
      </c>
      <c r="H635" s="104">
        <f>SUM(G472)</f>
        <v>424738.8</v>
      </c>
      <c r="I635" s="140" t="s">
        <v>114</v>
      </c>
      <c r="J635" s="109">
        <f t="shared" si="52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2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23306.6</v>
      </c>
      <c r="H637" s="164">
        <f>SUM(J468)</f>
        <v>23306.6</v>
      </c>
      <c r="I637" s="165" t="s">
        <v>110</v>
      </c>
      <c r="J637" s="151">
        <f t="shared" si="52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2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997666.91</v>
      </c>
      <c r="H639" s="104">
        <f>SUM(F461)</f>
        <v>997666.91</v>
      </c>
      <c r="I639" s="140" t="s">
        <v>857</v>
      </c>
      <c r="J639" s="109">
        <f t="shared" si="52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2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2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997666.91</v>
      </c>
      <c r="H642" s="104">
        <f>SUM(I461)</f>
        <v>997666.91</v>
      </c>
      <c r="I642" s="140" t="s">
        <v>860</v>
      </c>
      <c r="J642" s="109">
        <f t="shared" si="52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2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13306.6</v>
      </c>
      <c r="H644" s="104">
        <f>H408</f>
        <v>13306.6</v>
      </c>
      <c r="I644" s="140" t="s">
        <v>481</v>
      </c>
      <c r="J644" s="109">
        <f t="shared" si="52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10000</v>
      </c>
      <c r="H645" s="104">
        <f>G408</f>
        <v>10000</v>
      </c>
      <c r="I645" s="140" t="s">
        <v>482</v>
      </c>
      <c r="J645" s="109">
        <f t="shared" si="52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23306.6</v>
      </c>
      <c r="H646" s="104">
        <f>L408</f>
        <v>23306.6</v>
      </c>
      <c r="I646" s="140" t="s">
        <v>478</v>
      </c>
      <c r="J646" s="109">
        <f t="shared" si="52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657335.30999999994</v>
      </c>
      <c r="H647" s="104">
        <f>L208+L226+L244</f>
        <v>657335.31000000006</v>
      </c>
      <c r="I647" s="140" t="s">
        <v>397</v>
      </c>
      <c r="J647" s="109">
        <f t="shared" si="52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122470</v>
      </c>
      <c r="H648" s="104">
        <f>(J257+J338)-(J255+J336)</f>
        <v>122470</v>
      </c>
      <c r="I648" s="140" t="s">
        <v>703</v>
      </c>
      <c r="J648" s="109">
        <f t="shared" si="52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305484.60000000003</v>
      </c>
      <c r="H649" s="104">
        <f>H598</f>
        <v>305484.60000000003</v>
      </c>
      <c r="I649" s="140" t="s">
        <v>389</v>
      </c>
      <c r="J649" s="109">
        <f t="shared" si="52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110023.46</v>
      </c>
      <c r="H650" s="104">
        <f>I598</f>
        <v>110023.45999999999</v>
      </c>
      <c r="I650" s="140" t="s">
        <v>390</v>
      </c>
      <c r="J650" s="109">
        <f t="shared" si="52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241827.25</v>
      </c>
      <c r="H651" s="104">
        <f>J598</f>
        <v>241827.25000000003</v>
      </c>
      <c r="I651" s="140" t="s">
        <v>391</v>
      </c>
      <c r="J651" s="109">
        <f t="shared" si="52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2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2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2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10000</v>
      </c>
      <c r="H655" s="104">
        <f>K266+K347</f>
        <v>10000</v>
      </c>
      <c r="I655" s="140" t="s">
        <v>401</v>
      </c>
      <c r="J655" s="109">
        <f t="shared" si="52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7456298.8100000005</v>
      </c>
      <c r="G660" s="19">
        <f>(L229+L309+L359)</f>
        <v>2515480.9700000002</v>
      </c>
      <c r="H660" s="19">
        <f>(L247+L328+L360)</f>
        <v>6915022.9399999985</v>
      </c>
      <c r="I660" s="19">
        <f>SUM(F660:H660)</f>
        <v>16886802.719999999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71536.410819106706</v>
      </c>
      <c r="G661" s="19">
        <f>(L359/IF(SUM(L358:L360)=0,1,SUM(L358:L360))*(SUM(G97:G110)))</f>
        <v>17539.759432477091</v>
      </c>
      <c r="H661" s="19">
        <f>(L360/IF(SUM(L358:L360)=0,1,SUM(L358:L360))*(SUM(G97:G110)))</f>
        <v>47444.489748416207</v>
      </c>
      <c r="I661" s="19">
        <f>SUM(F661:H661)</f>
        <v>136520.66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305484.60000000003</v>
      </c>
      <c r="G662" s="19">
        <f>(L226+L306)-(J226+J306)</f>
        <v>110023.46</v>
      </c>
      <c r="H662" s="19">
        <f>(L244+L325)-(J244+J325)</f>
        <v>241827.25</v>
      </c>
      <c r="I662" s="19">
        <f>SUM(F662:H662)</f>
        <v>657335.31000000006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383540.67</v>
      </c>
      <c r="G663" s="199">
        <f>SUM(G575:G587)+SUM(I602:I604)+L612</f>
        <v>353299.99</v>
      </c>
      <c r="H663" s="199">
        <f>SUM(H575:H587)+SUM(J602:J604)+L613</f>
        <v>786572.54999999993</v>
      </c>
      <c r="I663" s="19">
        <f>SUM(F663:H663)</f>
        <v>1523413.21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6695737.1291808933</v>
      </c>
      <c r="G664" s="19">
        <f>G660-SUM(G661:G663)</f>
        <v>2034617.7605675231</v>
      </c>
      <c r="H664" s="19">
        <f>H660-SUM(H661:H663)</f>
        <v>5839178.6502515823</v>
      </c>
      <c r="I664" s="19">
        <f>I660-SUM(I661:I663)</f>
        <v>14569533.539999999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458.53</v>
      </c>
      <c r="G665" s="248">
        <v>131.24</v>
      </c>
      <c r="H665" s="248">
        <v>355.55</v>
      </c>
      <c r="I665" s="19">
        <f>SUM(F665:H665)</f>
        <v>945.31999999999994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14602.62</v>
      </c>
      <c r="G667" s="19">
        <f>ROUND(G664/G665,2)</f>
        <v>15503.03</v>
      </c>
      <c r="H667" s="19">
        <f>ROUND(H664/H665,2)</f>
        <v>16422.95</v>
      </c>
      <c r="I667" s="19">
        <f>ROUND(I664/I665,2)</f>
        <v>15412.28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4.3899999999999997</v>
      </c>
      <c r="I670" s="19">
        <f>SUM(F670:H670)</f>
        <v>4.3899999999999997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14602.62</v>
      </c>
      <c r="G672" s="19">
        <f>ROUND((G664+G669)/(G665+G670),2)</f>
        <v>15503.03</v>
      </c>
      <c r="H672" s="19">
        <f>ROUND((H664+H669)/(H665+H670),2)</f>
        <v>16222.64</v>
      </c>
      <c r="I672" s="19">
        <f>ROUND((I664+I669)/(I665+I670),2)</f>
        <v>15341.03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21" sqref="B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NEWPORT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3566565.44</v>
      </c>
      <c r="C9" s="229">
        <f>'DOE25'!G197+'DOE25'!G215+'DOE25'!G233+'DOE25'!G276+'DOE25'!G295+'DOE25'!G314</f>
        <v>1908748.5799999998</v>
      </c>
    </row>
    <row r="10" spans="1:3" x14ac:dyDescent="0.2">
      <c r="A10" t="s">
        <v>779</v>
      </c>
      <c r="B10" s="240">
        <v>3271102.07</v>
      </c>
      <c r="C10" s="240">
        <v>1750750.4</v>
      </c>
    </row>
    <row r="11" spans="1:3" x14ac:dyDescent="0.2">
      <c r="A11" t="s">
        <v>780</v>
      </c>
      <c r="B11" s="240">
        <v>135698.23999999999</v>
      </c>
      <c r="C11" s="240">
        <v>144529.98000000001</v>
      </c>
    </row>
    <row r="12" spans="1:3" x14ac:dyDescent="0.2">
      <c r="A12" t="s">
        <v>781</v>
      </c>
      <c r="B12" s="240">
        <v>159765.13</v>
      </c>
      <c r="C12" s="240">
        <v>13468.2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3566565.4399999995</v>
      </c>
      <c r="C13" s="231">
        <f>SUM(C10:C12)</f>
        <v>1908748.5799999998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1429568.8699999999</v>
      </c>
      <c r="C18" s="229">
        <f>'DOE25'!G198+'DOE25'!G216+'DOE25'!G234+'DOE25'!G277+'DOE25'!G296+'DOE25'!G315</f>
        <v>547197.55000000005</v>
      </c>
    </row>
    <row r="19" spans="1:3" x14ac:dyDescent="0.2">
      <c r="A19" t="s">
        <v>779</v>
      </c>
      <c r="B19" s="240">
        <v>685535.53</v>
      </c>
      <c r="C19" s="240">
        <v>316485.34000000003</v>
      </c>
    </row>
    <row r="20" spans="1:3" x14ac:dyDescent="0.2">
      <c r="A20" t="s">
        <v>780</v>
      </c>
      <c r="B20" s="240">
        <v>603234.67000000004</v>
      </c>
      <c r="C20" s="240">
        <v>179207.13</v>
      </c>
    </row>
    <row r="21" spans="1:3" x14ac:dyDescent="0.2">
      <c r="A21" t="s">
        <v>781</v>
      </c>
      <c r="B21" s="240">
        <v>140798.67000000001</v>
      </c>
      <c r="C21" s="240">
        <v>51505.08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1429568.87</v>
      </c>
      <c r="C22" s="231">
        <f>SUM(C19:C21)</f>
        <v>547197.55000000005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360322.03</v>
      </c>
      <c r="C27" s="234">
        <f>'DOE25'!G199+'DOE25'!G217+'DOE25'!G235+'DOE25'!G278+'DOE25'!G297+'DOE25'!G316</f>
        <v>187554.08</v>
      </c>
    </row>
    <row r="28" spans="1:3" x14ac:dyDescent="0.2">
      <c r="A28" t="s">
        <v>779</v>
      </c>
      <c r="B28" s="240">
        <v>360322.03</v>
      </c>
      <c r="C28" s="240">
        <v>187554.08</v>
      </c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360322.03</v>
      </c>
      <c r="C31" s="231">
        <f>SUM(C28:C30)</f>
        <v>187554.08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165091.20000000001</v>
      </c>
      <c r="C36" s="235">
        <f>'DOE25'!G200+'DOE25'!G218+'DOE25'!G236+'DOE25'!G279+'DOE25'!G298+'DOE25'!G317</f>
        <v>42329.65</v>
      </c>
    </row>
    <row r="37" spans="1:3" x14ac:dyDescent="0.2">
      <c r="A37" t="s">
        <v>779</v>
      </c>
      <c r="B37" s="240">
        <v>58314.12</v>
      </c>
      <c r="C37" s="240">
        <v>11862.46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106777.08</v>
      </c>
      <c r="C39" s="240">
        <v>30467.19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165091.20000000001</v>
      </c>
      <c r="C40" s="231">
        <f>SUM(C37:C39)</f>
        <v>42329.649999999994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36" sqref="E36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NEWPORT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9353748.5899999999</v>
      </c>
      <c r="D5" s="20">
        <f>SUM('DOE25'!L197:L200)+SUM('DOE25'!L215:L218)+SUM('DOE25'!L233:L236)-F5-G5</f>
        <v>9310313.7199999988</v>
      </c>
      <c r="E5" s="243"/>
      <c r="F5" s="255">
        <f>SUM('DOE25'!J197:J200)+SUM('DOE25'!J215:J218)+SUM('DOE25'!J233:J236)</f>
        <v>22116.22</v>
      </c>
      <c r="G5" s="53">
        <f>SUM('DOE25'!K197:K200)+SUM('DOE25'!K215:K218)+SUM('DOE25'!K233:K236)</f>
        <v>21318.649999999998</v>
      </c>
      <c r="H5" s="259"/>
    </row>
    <row r="6" spans="1:9" x14ac:dyDescent="0.2">
      <c r="A6" s="32">
        <v>2100</v>
      </c>
      <c r="B6" t="s">
        <v>801</v>
      </c>
      <c r="C6" s="245">
        <f t="shared" si="0"/>
        <v>1643518.23</v>
      </c>
      <c r="D6" s="20">
        <f>'DOE25'!L202+'DOE25'!L220+'DOE25'!L238-F6-G6</f>
        <v>1629448.23</v>
      </c>
      <c r="E6" s="243"/>
      <c r="F6" s="255">
        <f>'DOE25'!J202+'DOE25'!J220+'DOE25'!J238</f>
        <v>0</v>
      </c>
      <c r="G6" s="53">
        <f>'DOE25'!K202+'DOE25'!K220+'DOE25'!K238</f>
        <v>14070</v>
      </c>
      <c r="H6" s="259"/>
    </row>
    <row r="7" spans="1:9" x14ac:dyDescent="0.2">
      <c r="A7" s="32">
        <v>2200</v>
      </c>
      <c r="B7" t="s">
        <v>834</v>
      </c>
      <c r="C7" s="245">
        <f t="shared" si="0"/>
        <v>853858.56999999983</v>
      </c>
      <c r="D7" s="20">
        <f>'DOE25'!L203+'DOE25'!L221+'DOE25'!L239-F7-G7</f>
        <v>769360.15999999992</v>
      </c>
      <c r="E7" s="243"/>
      <c r="F7" s="255">
        <f>'DOE25'!J203+'DOE25'!J221+'DOE25'!J239</f>
        <v>74507.929999999993</v>
      </c>
      <c r="G7" s="53">
        <f>'DOE25'!K203+'DOE25'!K221+'DOE25'!K239</f>
        <v>9990.48</v>
      </c>
      <c r="H7" s="259"/>
    </row>
    <row r="8" spans="1:9" x14ac:dyDescent="0.2">
      <c r="A8" s="32">
        <v>2300</v>
      </c>
      <c r="B8" t="s">
        <v>802</v>
      </c>
      <c r="C8" s="245">
        <f t="shared" si="0"/>
        <v>348779.96</v>
      </c>
      <c r="D8" s="243"/>
      <c r="E8" s="20">
        <f>'DOE25'!L204+'DOE25'!L222+'DOE25'!L240-F8-G8-D9-D11</f>
        <v>340548.43</v>
      </c>
      <c r="F8" s="255">
        <f>'DOE25'!J204+'DOE25'!J222+'DOE25'!J240</f>
        <v>0</v>
      </c>
      <c r="G8" s="53">
        <f>'DOE25'!K204+'DOE25'!K222+'DOE25'!K240</f>
        <v>8231.5300000000007</v>
      </c>
      <c r="H8" s="259"/>
    </row>
    <row r="9" spans="1:9" x14ac:dyDescent="0.2">
      <c r="A9" s="32">
        <v>2310</v>
      </c>
      <c r="B9" t="s">
        <v>818</v>
      </c>
      <c r="C9" s="245">
        <f t="shared" si="0"/>
        <v>68019.820000000007</v>
      </c>
      <c r="D9" s="244">
        <v>68019.820000000007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24000</v>
      </c>
      <c r="D10" s="243"/>
      <c r="E10" s="244">
        <v>24000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309882.05</v>
      </c>
      <c r="D11" s="244">
        <v>309882.05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992755.66</v>
      </c>
      <c r="D12" s="20">
        <f>'DOE25'!L205+'DOE25'!L223+'DOE25'!L241-F12-G12</f>
        <v>984766.89</v>
      </c>
      <c r="E12" s="243"/>
      <c r="F12" s="255">
        <f>'DOE25'!J205+'DOE25'!J223+'DOE25'!J241</f>
        <v>4569.22</v>
      </c>
      <c r="G12" s="53">
        <f>'DOE25'!K205+'DOE25'!K223+'DOE25'!K241</f>
        <v>3419.5499999999997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1185813.0900000001</v>
      </c>
      <c r="D14" s="20">
        <f>'DOE25'!L207+'DOE25'!L225+'DOE25'!L243-F14-G14</f>
        <v>1181665.0900000001</v>
      </c>
      <c r="E14" s="243"/>
      <c r="F14" s="255">
        <f>'DOE25'!J207+'DOE25'!J225+'DOE25'!J243</f>
        <v>4148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657335.31000000006</v>
      </c>
      <c r="D15" s="20">
        <f>'DOE25'!L208+'DOE25'!L226+'DOE25'!L244-F15-G15</f>
        <v>656505.56000000006</v>
      </c>
      <c r="E15" s="243"/>
      <c r="F15" s="255">
        <f>'DOE25'!J208+'DOE25'!J226+'DOE25'!J244</f>
        <v>0</v>
      </c>
      <c r="G15" s="53">
        <f>'DOE25'!K208+'DOE25'!K226+'DOE25'!K244</f>
        <v>829.75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861912.5</v>
      </c>
      <c r="D25" s="243"/>
      <c r="E25" s="243"/>
      <c r="F25" s="258"/>
      <c r="G25" s="256"/>
      <c r="H25" s="257">
        <f>'DOE25'!L260+'DOE25'!L261+'DOE25'!L341+'DOE25'!L342</f>
        <v>861912.5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382244.52</v>
      </c>
      <c r="D29" s="20">
        <f>'DOE25'!L358+'DOE25'!L359+'DOE25'!L360-'DOE25'!I367-F29-G29</f>
        <v>382244.52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1048352.6400000001</v>
      </c>
      <c r="D31" s="20">
        <f>'DOE25'!L290+'DOE25'!L309+'DOE25'!L328+'DOE25'!L333+'DOE25'!L334+'DOE25'!L335-F31-G31</f>
        <v>1022513.9100000001</v>
      </c>
      <c r="E31" s="243"/>
      <c r="F31" s="255">
        <f>'DOE25'!J290+'DOE25'!J309+'DOE25'!J328+'DOE25'!J333+'DOE25'!J334+'DOE25'!J335</f>
        <v>17128.63</v>
      </c>
      <c r="G31" s="53">
        <f>'DOE25'!K290+'DOE25'!K309+'DOE25'!K328+'DOE25'!K333+'DOE25'!K334+'DOE25'!K335</f>
        <v>8710.0999999999985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16314719.950000001</v>
      </c>
      <c r="E33" s="246">
        <f>SUM(E5:E31)</f>
        <v>364548.43</v>
      </c>
      <c r="F33" s="246">
        <f>SUM(F5:F31)</f>
        <v>122470</v>
      </c>
      <c r="G33" s="246">
        <f>SUM(G5:G31)</f>
        <v>66570.06</v>
      </c>
      <c r="H33" s="246">
        <f>SUM(H5:H31)</f>
        <v>861912.5</v>
      </c>
    </row>
    <row r="35" spans="2:8" ht="12" thickBot="1" x14ac:dyDescent="0.25">
      <c r="B35" s="253" t="s">
        <v>847</v>
      </c>
      <c r="D35" s="254">
        <f>E33</f>
        <v>364548.43</v>
      </c>
      <c r="E35" s="249"/>
    </row>
    <row r="36" spans="2:8" ht="12" thickTop="1" x14ac:dyDescent="0.2">
      <c r="B36" t="s">
        <v>815</v>
      </c>
      <c r="D36" s="20">
        <f>D33</f>
        <v>16314719.950000001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NEWPORT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530213.03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997666.91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151016.89000000001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33401.35</v>
      </c>
      <c r="D12" s="95">
        <f>'DOE25'!G13</f>
        <v>11280.31</v>
      </c>
      <c r="E12" s="95">
        <f>'DOE25'!H13</f>
        <v>154096.87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2558.91</v>
      </c>
      <c r="D13" s="95">
        <f>'DOE25'!G14</f>
        <v>33996.660000000003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11296.43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29982.31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747172.49000000011</v>
      </c>
      <c r="D18" s="41">
        <f>SUM(D8:D17)</f>
        <v>56573.4</v>
      </c>
      <c r="E18" s="41">
        <f>SUM(E8:E17)</f>
        <v>154096.87</v>
      </c>
      <c r="F18" s="41">
        <f>SUM(F8:F17)</f>
        <v>0</v>
      </c>
      <c r="G18" s="41">
        <f>SUM(G8:G17)</f>
        <v>997666.91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41873.339999999997</v>
      </c>
      <c r="E21" s="95">
        <f>'DOE25'!H22</f>
        <v>109143.55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209785.94</v>
      </c>
      <c r="D23" s="95">
        <f>'DOE25'!G24</f>
        <v>91.63</v>
      </c>
      <c r="E23" s="95">
        <f>'DOE25'!H24</f>
        <v>37029.65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254.29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351662</v>
      </c>
      <c r="D29" s="95">
        <f>'DOE25'!G30</f>
        <v>3191.24</v>
      </c>
      <c r="E29" s="95">
        <f>'DOE25'!H30</f>
        <v>7923.67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561702.23</v>
      </c>
      <c r="D31" s="41">
        <f>SUM(D21:D30)</f>
        <v>45156.209999999992</v>
      </c>
      <c r="E31" s="41">
        <f>SUM(E21:E30)</f>
        <v>154096.87000000002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11296.43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29982.31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120.76</v>
      </c>
      <c r="E47" s="95">
        <f>'DOE25'!H48</f>
        <v>0</v>
      </c>
      <c r="F47" s="95">
        <f>'DOE25'!I48</f>
        <v>0</v>
      </c>
      <c r="G47" s="95">
        <f>'DOE25'!J48</f>
        <v>997666.91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7888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137599.95000000001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185470.26</v>
      </c>
      <c r="D50" s="41">
        <f>SUM(D34:D49)</f>
        <v>11417.19</v>
      </c>
      <c r="E50" s="41">
        <f>SUM(E34:E49)</f>
        <v>0</v>
      </c>
      <c r="F50" s="41">
        <f>SUM(F34:F49)</f>
        <v>0</v>
      </c>
      <c r="G50" s="41">
        <f>SUM(G34:G49)</f>
        <v>997666.91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747172.49</v>
      </c>
      <c r="D51" s="41">
        <f>D50+D31</f>
        <v>56573.399999999994</v>
      </c>
      <c r="E51" s="41">
        <f>E50+E31</f>
        <v>154096.87000000002</v>
      </c>
      <c r="F51" s="41">
        <f>F50+F31</f>
        <v>0</v>
      </c>
      <c r="G51" s="41">
        <f>G50+G31</f>
        <v>997666.91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5349342.3899999997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1610211.57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10047.459999999999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814.52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13306.6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128061.08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332133.95999999996</v>
      </c>
      <c r="D61" s="95">
        <f>SUM('DOE25'!G98:G110)</f>
        <v>8459.58</v>
      </c>
      <c r="E61" s="95">
        <f>SUM('DOE25'!H98:H110)</f>
        <v>12276.33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1953207.51</v>
      </c>
      <c r="D62" s="130">
        <f>SUM(D57:D61)</f>
        <v>136520.66</v>
      </c>
      <c r="E62" s="130">
        <f>SUM(E57:E61)</f>
        <v>12276.33</v>
      </c>
      <c r="F62" s="130">
        <f>SUM(F57:F61)</f>
        <v>0</v>
      </c>
      <c r="G62" s="130">
        <f>SUM(G57:G61)</f>
        <v>13306.6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7302549.8999999994</v>
      </c>
      <c r="D63" s="22">
        <f>D56+D62</f>
        <v>136520.66</v>
      </c>
      <c r="E63" s="22">
        <f>E56+E62</f>
        <v>12276.33</v>
      </c>
      <c r="F63" s="22">
        <f>F56+F62</f>
        <v>0</v>
      </c>
      <c r="G63" s="22">
        <f>G56+G62</f>
        <v>13306.6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6420147.2599999998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1081917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7502064.2599999998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356596.02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278776.34999999998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73022.850000000006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5347.53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708395.22</v>
      </c>
      <c r="D78" s="130">
        <f>SUM(D72:D77)</f>
        <v>5347.53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8210459.4799999995</v>
      </c>
      <c r="D81" s="130">
        <f>SUM(D79:D80)+D78+D70</f>
        <v>5347.53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9381.68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68084.38</v>
      </c>
      <c r="D88" s="95">
        <f>SUM('DOE25'!G153:G161)</f>
        <v>282572.32</v>
      </c>
      <c r="E88" s="95">
        <f>SUM('DOE25'!H153:H161)</f>
        <v>1017064.63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9630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68084.38</v>
      </c>
      <c r="D91" s="131">
        <f>SUM(D85:D90)</f>
        <v>282572.32</v>
      </c>
      <c r="E91" s="131">
        <f>SUM(E85:E90)</f>
        <v>1036076.31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10000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10000</v>
      </c>
    </row>
    <row r="104" spans="1:7" ht="12.75" thickTop="1" thickBot="1" x14ac:dyDescent="0.25">
      <c r="A104" s="33" t="s">
        <v>765</v>
      </c>
      <c r="C104" s="86">
        <f>C63+C81+C91+C103</f>
        <v>15581093.76</v>
      </c>
      <c r="D104" s="86">
        <f>D63+D81+D91+D103</f>
        <v>424440.51</v>
      </c>
      <c r="E104" s="86">
        <f>E63+E81+E91+E103</f>
        <v>1048352.64</v>
      </c>
      <c r="F104" s="86">
        <f>F63+F81+F91+F103</f>
        <v>0</v>
      </c>
      <c r="G104" s="86">
        <f>G63+G81+G103</f>
        <v>23306.6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5254225.62</v>
      </c>
      <c r="D109" s="24" t="s">
        <v>289</v>
      </c>
      <c r="E109" s="95">
        <f>('DOE25'!L276)+('DOE25'!L295)+('DOE25'!L314)</f>
        <v>539235.24000000011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3177302.84</v>
      </c>
      <c r="D110" s="24" t="s">
        <v>289</v>
      </c>
      <c r="E110" s="95">
        <f>('DOE25'!L277)+('DOE25'!L296)+('DOE25'!L315)</f>
        <v>172786.19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610917.52</v>
      </c>
      <c r="D111" s="24" t="s">
        <v>289</v>
      </c>
      <c r="E111" s="95">
        <f>('DOE25'!L278)+('DOE25'!L297)+('DOE25'!L316)</f>
        <v>16723.759999999998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311302.61000000004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9353748.5899999999</v>
      </c>
      <c r="D115" s="86">
        <f>SUM(D109:D114)</f>
        <v>0</v>
      </c>
      <c r="E115" s="86">
        <f>SUM(E109:E114)</f>
        <v>728745.19000000018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1643518.23</v>
      </c>
      <c r="D118" s="24" t="s">
        <v>289</v>
      </c>
      <c r="E118" s="95">
        <f>+('DOE25'!L281)+('DOE25'!L300)+('DOE25'!L319)</f>
        <v>235063.14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853858.56999999983</v>
      </c>
      <c r="D119" s="24" t="s">
        <v>289</v>
      </c>
      <c r="E119" s="95">
        <f>+('DOE25'!L282)+('DOE25'!L301)+('DOE25'!L320)</f>
        <v>76186.880000000005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726681.83000000007</v>
      </c>
      <c r="D120" s="24" t="s">
        <v>289</v>
      </c>
      <c r="E120" s="95">
        <f>+('DOE25'!L283)+('DOE25'!L302)+('DOE25'!L321)</f>
        <v>8357.43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992755.66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1185813.0900000001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657335.31000000006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424738.8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6059962.6899999995</v>
      </c>
      <c r="D128" s="86">
        <f>SUM(D118:D127)</f>
        <v>424738.8</v>
      </c>
      <c r="E128" s="86">
        <f>SUM(E118:E127)</f>
        <v>319607.45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510000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351912.5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12534.33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10772.27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-13306.599999999999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871912.5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16285623.779999999</v>
      </c>
      <c r="D145" s="86">
        <f>(D115+D128+D144)</f>
        <v>424738.8</v>
      </c>
      <c r="E145" s="86">
        <f>(E115+E128+E144)</f>
        <v>1048352.6400000001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08/07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08/27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10156000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4.57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7610000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7610000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510000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510000</v>
      </c>
    </row>
    <row r="159" spans="1:9" x14ac:dyDescent="0.2">
      <c r="A159" s="22" t="s">
        <v>35</v>
      </c>
      <c r="B159" s="137">
        <f>'DOE25'!F498</f>
        <v>7100000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7100000</v>
      </c>
    </row>
    <row r="160" spans="1:9" x14ac:dyDescent="0.2">
      <c r="A160" s="22" t="s">
        <v>36</v>
      </c>
      <c r="B160" s="137">
        <f>'DOE25'!F499</f>
        <v>170537.5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170537.5</v>
      </c>
    </row>
    <row r="161" spans="1:7" x14ac:dyDescent="0.2">
      <c r="A161" s="22" t="s">
        <v>37</v>
      </c>
      <c r="B161" s="137">
        <f>'DOE25'!F500</f>
        <v>7270537.5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7270537.5</v>
      </c>
    </row>
    <row r="162" spans="1:7" x14ac:dyDescent="0.2">
      <c r="A162" s="22" t="s">
        <v>38</v>
      </c>
      <c r="B162" s="137">
        <f>'DOE25'!F501</f>
        <v>510000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510000</v>
      </c>
    </row>
    <row r="163" spans="1:7" x14ac:dyDescent="0.2">
      <c r="A163" s="22" t="s">
        <v>39</v>
      </c>
      <c r="B163" s="137">
        <f>'DOE25'!F502</f>
        <v>330237.5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330237.5</v>
      </c>
    </row>
    <row r="164" spans="1:7" x14ac:dyDescent="0.2">
      <c r="A164" s="22" t="s">
        <v>246</v>
      </c>
      <c r="B164" s="137">
        <f>'DOE25'!F503</f>
        <v>840237.5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840237.5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NEWPORT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14603</v>
      </c>
    </row>
    <row r="5" spans="1:4" x14ac:dyDescent="0.2">
      <c r="B5" t="s">
        <v>704</v>
      </c>
      <c r="C5" s="179">
        <f>IF('DOE25'!G665+'DOE25'!G670=0,0,ROUND('DOE25'!G672,0))</f>
        <v>15503</v>
      </c>
    </row>
    <row r="6" spans="1:4" x14ac:dyDescent="0.2">
      <c r="B6" t="s">
        <v>62</v>
      </c>
      <c r="C6" s="179">
        <f>IF('DOE25'!H665+'DOE25'!H670=0,0,ROUND('DOE25'!H672,0))</f>
        <v>16223</v>
      </c>
    </row>
    <row r="7" spans="1:4" x14ac:dyDescent="0.2">
      <c r="B7" t="s">
        <v>705</v>
      </c>
      <c r="C7" s="179">
        <f>IF('DOE25'!I665+'DOE25'!I670=0,0,ROUND('DOE25'!I672,0))</f>
        <v>15341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5793461</v>
      </c>
      <c r="D10" s="182">
        <f>ROUND((C10/$C$28)*100,1)</f>
        <v>33.9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3350089</v>
      </c>
      <c r="D11" s="182">
        <f>ROUND((C11/$C$28)*100,1)</f>
        <v>19.600000000000001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627641</v>
      </c>
      <c r="D12" s="182">
        <f>ROUND((C12/$C$28)*100,1)</f>
        <v>3.7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311303</v>
      </c>
      <c r="D13" s="182">
        <f>ROUND((C13/$C$28)*100,1)</f>
        <v>1.8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1878581</v>
      </c>
      <c r="D15" s="182">
        <f t="shared" ref="D15:D27" si="0">ROUND((C15/$C$28)*100,1)</f>
        <v>11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930045</v>
      </c>
      <c r="D16" s="182">
        <f t="shared" si="0"/>
        <v>5.4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735039</v>
      </c>
      <c r="D17" s="182">
        <f t="shared" si="0"/>
        <v>4.3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992756</v>
      </c>
      <c r="D18" s="182">
        <f t="shared" si="0"/>
        <v>5.8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1185813</v>
      </c>
      <c r="D20" s="182">
        <f t="shared" si="0"/>
        <v>6.9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657335</v>
      </c>
      <c r="D21" s="182">
        <f t="shared" si="0"/>
        <v>3.8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351913</v>
      </c>
      <c r="D25" s="182">
        <f t="shared" si="0"/>
        <v>2.1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288218.33999999997</v>
      </c>
      <c r="D27" s="182">
        <f t="shared" si="0"/>
        <v>1.7</v>
      </c>
    </row>
    <row r="28" spans="1:4" x14ac:dyDescent="0.2">
      <c r="B28" s="187" t="s">
        <v>723</v>
      </c>
      <c r="C28" s="180">
        <f>SUM(C10:C27)</f>
        <v>17102194.34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17102194.34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510000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5349342</v>
      </c>
      <c r="D35" s="182">
        <f t="shared" ref="D35:D40" si="1">ROUND((C35/$C$41)*100,1)</f>
        <v>31.6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1978790.83</v>
      </c>
      <c r="D36" s="182">
        <f t="shared" si="1"/>
        <v>11.7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7502064</v>
      </c>
      <c r="D37" s="182">
        <f t="shared" si="1"/>
        <v>44.3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713743</v>
      </c>
      <c r="D38" s="182">
        <f t="shared" si="1"/>
        <v>4.2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1386733</v>
      </c>
      <c r="D39" s="182">
        <f t="shared" si="1"/>
        <v>8.1999999999999993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16930672.829999998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NEWPORT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2014-08-25T19:15:57Z</cp:lastPrinted>
  <dcterms:created xsi:type="dcterms:W3CDTF">1997-12-04T19:04:30Z</dcterms:created>
  <dcterms:modified xsi:type="dcterms:W3CDTF">2014-12-05T17:20:58Z</dcterms:modified>
</cp:coreProperties>
</file>