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210" yWindow="-75" windowWidth="22440" windowHeight="11520" tabRatio="855" activeTab="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526" i="1" l="1"/>
  <c r="G521" i="1"/>
  <c r="F521" i="1"/>
  <c r="F526" i="1"/>
  <c r="J521" i="1" l="1"/>
  <c r="K531" i="1"/>
  <c r="H521" i="1"/>
  <c r="F367" i="1"/>
  <c r="I358" i="1"/>
  <c r="G531" i="1"/>
  <c r="C21" i="12"/>
  <c r="C19" i="12"/>
  <c r="C10" i="12"/>
  <c r="G197" i="1" l="1"/>
  <c r="G205" i="1"/>
  <c r="G203" i="1"/>
  <c r="F29" i="1" l="1"/>
  <c r="F24" i="1"/>
  <c r="F9" i="1"/>
  <c r="H203" i="1"/>
  <c r="H207" i="1"/>
  <c r="K205" i="1"/>
  <c r="H204" i="1"/>
  <c r="I200" i="1"/>
  <c r="K200" i="1"/>
  <c r="H198" i="1"/>
  <c r="F110" i="1"/>
  <c r="B21" i="12" l="1"/>
  <c r="B20" i="12"/>
  <c r="B19" i="12"/>
  <c r="B11" i="12"/>
  <c r="B10" i="12"/>
  <c r="F531" i="1"/>
  <c r="H604" i="1"/>
  <c r="J203" i="1"/>
  <c r="I203" i="1"/>
  <c r="I202" i="1"/>
  <c r="H208" i="1"/>
  <c r="F203" i="1"/>
  <c r="F202" i="1"/>
  <c r="F368" i="1"/>
  <c r="F358" i="1"/>
  <c r="G97" i="1"/>
  <c r="H396" i="1" l="1"/>
  <c r="H159" i="1"/>
  <c r="H155" i="1"/>
  <c r="H15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J640" i="1" s="1"/>
  <c r="G641" i="1"/>
  <c r="H641" i="1"/>
  <c r="G642" i="1"/>
  <c r="H642" i="1"/>
  <c r="G643" i="1"/>
  <c r="H643" i="1"/>
  <c r="G644" i="1"/>
  <c r="H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H664" i="1" s="1"/>
  <c r="L351" i="1"/>
  <c r="I662" i="1"/>
  <c r="L290" i="1"/>
  <c r="F660" i="1" s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L393" i="1"/>
  <c r="A13" i="12"/>
  <c r="F22" i="13"/>
  <c r="H25" i="13"/>
  <c r="C25" i="13" s="1"/>
  <c r="J651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C16" i="13"/>
  <c r="H33" i="13"/>
  <c r="L271" i="1" l="1"/>
  <c r="G632" i="1" s="1"/>
  <c r="C112" i="2"/>
  <c r="C115" i="2" s="1"/>
  <c r="F664" i="1"/>
  <c r="F672" i="1" s="1"/>
  <c r="C4" i="10" s="1"/>
  <c r="I661" i="1"/>
  <c r="C62" i="2"/>
  <c r="C63" i="2" s="1"/>
  <c r="J649" i="1"/>
  <c r="F667" i="1"/>
  <c r="E33" i="13"/>
  <c r="D35" i="13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C104" i="2" l="1"/>
  <c r="G672" i="1"/>
  <c r="C5" i="10" s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<sst xmlns="http://schemas.openxmlformats.org/spreadsheetml/2006/main" count="3960" uniqueCount="918">
  <si>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</si>
  <si>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</si>
  <si>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</si>
  <si>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</si>
  <si>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</si>
  <si>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</si>
  <si>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</si>
  <si>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</si>
  <si>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</si>
  <si>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</si>
  <si>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</si>
  <si>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</si>
  <si>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</si>
  <si>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</si>
  <si>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</si>
  <si>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</si>
  <si>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</si>
  <si>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</si>
  <si>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</si>
  <si>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</si>
  <si>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</si>
  <si>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</si>
  <si>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</si>
  <si>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</si>
  <si>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</si>
  <si>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</si>
  <si>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</si>
  <si>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</si>
  <si>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</si>
  <si>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</si>
  <si>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</si>
  <si>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</si>
  <si>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</si>
  <si>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</si>
  <si>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</si>
  <si>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</si>
  <si>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</si>
  <si>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</si>
  <si>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</si>
  <si>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</si>
  <si>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</si>
  <si>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</si>
  <si>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</si>
  <si>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</si>
  <si>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</si>
  <si>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</si>
  <si>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</si>
  <si>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</si>
  <si>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</si>
  <si>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</si>
  <si>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</si>
  <si>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</si>
  <si>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</si>
  <si>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</si>
  <si>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</si>
  <si>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</si>
  <si>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</si>
  <si>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</si>
  <si>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</si>
  <si>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</si>
  <si>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</si>
  <si>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</si>
  <si>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</si>
  <si>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</si>
  <si>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</si>
  <si>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</si>
  <si>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</si>
  <si>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</si>
  <si>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</si>
  <si>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</si>
  <si>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</si>
  <si>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</si>
  <si>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</si>
  <si>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</si>
  <si>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</si>
  <si>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</si>
  <si>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</si>
  <si>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</si>
  <si>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</si>
  <si>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</si>
  <si>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</si>
  <si>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</si>
  <si>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</si>
  <si>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</si>
  <si>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</si>
  <si>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</si>
  <si>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</si>
  <si>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</si>
  <si>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</si>
  <si>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</si>
  <si>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</si>
  <si>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</si>
  <si>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</si>
  <si>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</si>
  <si>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</si>
  <si>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</si>
  <si>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</si>
  <si>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</si>
  <si>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</si>
  <si>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</si>
  <si>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</si>
  <si>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</si>
  <si>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</si>
  <si>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</si>
  <si>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</si>
  <si>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</si>
  <si>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</si>
  <si>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</si>
  <si>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</si>
  <si>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</si>
  <si>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</si>
  <si>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</si>
  <si>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</si>
  <si>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</si>
  <si>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</si>
  <si>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</si>
  <si>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</si>
  <si>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</si>
  <si>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</si>
  <si>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</si>
  <si>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</si>
  <si>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</si>
  <si>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</si>
  <si>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</si>
  <si>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</si>
  <si>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</si>
  <si>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</si>
  <si>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</si>
  <si>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</si>
  <si>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</si>
  <si>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</si>
  <si>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</si>
  <si>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</si>
  <si>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</si>
  <si>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</si>
  <si>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</si>
  <si>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</si>
  <si>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</si>
  <si>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</si>
  <si>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</si>
  <si>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</si>
  <si>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</si>
  <si>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</si>
  <si>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</si>
  <si>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</si>
  <si>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</si>
  <si>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</si>
  <si>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</si>
  <si>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</si>
  <si>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</si>
  <si>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</si>
  <si>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</si>
  <si>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</si>
  <si>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</si>
  <si>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</si>
  <si>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</si>
  <si>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</si>
  <si>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</si>
  <si>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</si>
  <si>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</si>
  <si>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</si>
  <si>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</si>
  <si>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</si>
  <si>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</si>
  <si>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</si>
  <si>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</si>
  <si>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</si>
  <si>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</si>
  <si>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</si>
  <si>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</si>
  <si>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</si>
  <si>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</si>
  <si>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</si>
  <si>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</si>
  <si>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</si>
  <si>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</si>
  <si>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</si>
  <si>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</si>
  <si>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</si>
  <si>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</si>
  <si>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</si>
  <si>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</si>
  <si>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</si>
  <si>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</si>
  <si>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</si>
  <si>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</si>
  <si>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</si>
  <si>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</si>
  <si>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</si>
  <si>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</si>
  <si>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</si>
  <si>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</si>
  <si>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</si>
  <si>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</si>
  <si>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</si>
  <si>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</si>
  <si>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</si>
  <si>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</si>
  <si>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</si>
  <si>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</si>
  <si>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</si>
  <si>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</si>
  <si>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</si>
  <si>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</si>
  <si>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</si>
  <si>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</si>
  <si>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</si>
  <si>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</si>
  <si>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</si>
  <si>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</si>
  <si>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</si>
  <si>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</si>
  <si>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</si>
  <si>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</si>
  <si>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</si>
  <si>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</si>
  <si>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</si>
  <si>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</si>
  <si>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</si>
  <si>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</si>
  <si>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</si>
  <si>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</si>
  <si>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</si>
  <si>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</si>
  <si>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</si>
  <si>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</si>
  <si>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</si>
  <si>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</si>
  <si>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</si>
  <si>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</si>
  <si>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</si>
  <si>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</si>
  <si>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</si>
  <si>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</si>
  <si>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</si>
  <si>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</si>
  <si>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</si>
  <si>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</si>
  <si>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</si>
  <si>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</si>
  <si>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</si>
  <si>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</si>
  <si>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</si>
  <si>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</si>
  <si>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</si>
  <si>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</si>
  <si>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</si>
  <si>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</si>
  <si>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</si>
  <si>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</si>
  <si>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</si>
  <si>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</si>
  <si>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</si>
  <si>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</si>
  <si>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</si>
  <si>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</si>
  <si>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</si>
  <si>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</si>
  <si>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</si>
  <si>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</si>
  <si>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</si>
  <si>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</si>
  <si>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</si>
  <si>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</si>
  <si>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</si>
  <si>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</si>
  <si>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</si>
  <si>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</si>
  <si>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</si>
  <si>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</si>
  <si>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</si>
  <si>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</si>
  <si>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</si>
  <si>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</si>
  <si>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</si>
  <si>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</si>
  <si>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</si>
  <si>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</si>
  <si>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</si>
  <si>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</si>
  <si>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</si>
  <si>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</si>
  <si>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</si>
  <si>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</si>
  <si>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</si>
  <si>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</si>
  <si>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</si>
  <si>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</si>
  <si>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</si>
  <si>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</si>
  <si>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</si>
  <si>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</si>
  <si>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</si>
  <si>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</si>
  <si>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</si>
  <si>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</si>
  <si>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</si>
  <si>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</si>
  <si>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</si>
  <si>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</si>
  <si>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</si>
  <si>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</si>
  <si>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</si>
  <si>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</si>
  <si>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</si>
  <si>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</si>
  <si>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</si>
  <si>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</si>
  <si>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</si>
  <si>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</si>
  <si>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</si>
  <si>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</si>
  <si>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</si>
  <si>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</si>
  <si>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</si>
  <si>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</si>
  <si>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</si>
  <si>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</si>
  <si>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</si>
  <si>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</si>
  <si>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</si>
  <si>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</si>
  <si>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</si>
  <si>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</si>
  <si>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</si>
  <si>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</si>
  <si>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</si>
  <si>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</si>
  <si>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</si>
  <si>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</si>
  <si>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</si>
  <si>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</si>
  <si>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</si>
  <si>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</si>
  <si>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</si>
  <si>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</si>
  <si>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</si>
  <si>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</si>
  <si>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</si>
  <si>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</si>
  <si>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</si>
  <si>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</si>
  <si>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</si>
  <si>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</si>
  <si>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</si>
  <si>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</si>
  <si>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</si>
  <si>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</si>
  <si>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</si>
  <si>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</si>
  <si>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</si>
  <si>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</si>
  <si>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</si>
  <si>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</si>
  <si>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</si>
  <si>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</si>
  <si>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</si>
  <si>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</si>
  <si>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</si>
  <si>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</si>
  <si>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</si>
  <si>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</si>
  <si>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</si>
  <si>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</si>
  <si>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</si>
  <si>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</si>
  <si>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</si>
  <si>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</si>
  <si>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</si>
  <si>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</si>
  <si>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</si>
  <si>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</si>
  <si>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</si>
  <si>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</si>
  <si>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</si>
  <si>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</si>
  <si>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</si>
  <si>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</si>
  <si>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</si>
  <si>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</si>
  <si>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</si>
  <si>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</si>
  <si>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</si>
  <si>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</si>
  <si>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</si>
  <si>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</si>
  <si>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</si>
  <si>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</si>
  <si>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</si>
  <si>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</si>
  <si>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</si>
  <si>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</si>
  <si>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</si>
  <si>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</si>
  <si>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</si>
  <si>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</si>
  <si>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</si>
  <si>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</si>
  <si>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</si>
  <si>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</si>
  <si>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</si>
  <si>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</si>
  <si>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</si>
  <si>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</si>
  <si>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</si>
  <si>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</si>
  <si>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</si>
  <si>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</si>
  <si>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</si>
  <si>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</si>
  <si>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</si>
  <si>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</si>
  <si>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</si>
  <si>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</si>
  <si>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</si>
  <si>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</si>
  <si>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</si>
  <si>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</si>
  <si>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</si>
  <si>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</si>
  <si>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</si>
  <si>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</si>
  <si>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</si>
  <si>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</si>
  <si>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</si>
  <si>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</si>
  <si>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</si>
  <si>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</si>
  <si>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</si>
  <si>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</si>
  <si>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</si>
  <si>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</si>
  <si>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</si>
  <si>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</si>
  <si>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</si>
  <si>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</si>
  <si>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</si>
  <si>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</si>
  <si>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</si>
  <si>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</si>
  <si>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</si>
  <si>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</si>
  <si>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</si>
  <si>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</si>
  <si>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</si>
  <si>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</si>
  <si>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</si>
  <si>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</si>
  <si>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</si>
  <si>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</si>
  <si>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</si>
  <si>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</si>
  <si>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</si>
  <si>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</si>
  <si>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</si>
  <si>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</si>
  <si>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</si>
  <si>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</si>
  <si>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</si>
  <si>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</si>
  <si>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</si>
  <si>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</si>
  <si>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</si>
  <si>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</si>
  <si>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</si>
  <si>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</si>
  <si>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</si>
  <si>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</si>
  <si>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</si>
  <si>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</si>
  <si>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</si>
  <si>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</si>
  <si>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</si>
  <si>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</si>
  <si>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</si>
  <si>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</si>
  <si>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</si>
  <si>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</si>
  <si>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</si>
  <si>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</si>
  <si>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</si>
  <si>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</si>
  <si>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</si>
  <si>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</si>
  <si>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</si>
  <si>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</si>
  <si>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</si>
  <si>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</si>
  <si>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</si>
  <si>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</si>
  <si>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</si>
  <si>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</si>
  <si>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</si>
  <si>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</si>
  <si>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</si>
  <si>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</si>
  <si>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</si>
  <si>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</si>
  <si>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</si>
  <si>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</si>
  <si>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</si>
  <si>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</si>
  <si>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</si>
  <si>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</si>
  <si>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</si>
  <si>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</si>
  <si>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</si>
  <si>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</si>
  <si>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</si>
  <si>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</si>
  <si>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</si>
  <si>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</si>
  <si>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</si>
  <si>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</si>
  <si>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</si>
  <si>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</si>
  <si>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</si>
  <si>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</si>
  <si>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</si>
  <si>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</si>
  <si>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</si>
  <si>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</si>
  <si>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</si>
  <si>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</si>
  <si>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</si>
  <si>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</si>
  <si>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</si>
  <si>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</si>
  <si>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</si>
  <si>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</si>
  <si>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</si>
  <si>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</si>
  <si>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</si>
  <si>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</si>
  <si>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</si>
  <si>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</si>
  <si>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</si>
  <si>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</si>
  <si>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</si>
  <si>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</si>
  <si>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</si>
  <si>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</si>
  <si>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</si>
  <si>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</si>
  <si>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</si>
  <si>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</si>
  <si>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</si>
  <si>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</si>
  <si>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</si>
  <si>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</si>
  <si>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</si>
  <si>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</si>
  <si>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</si>
  <si>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</si>
  <si>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</si>
  <si>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</si>
  <si>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</si>
  <si>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</si>
  <si>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</si>
  <si>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</si>
  <si>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</si>
  <si>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</si>
  <si>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</si>
  <si>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</si>
  <si>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</si>
  <si>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</si>
  <si>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</si>
  <si>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</si>
  <si>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</si>
  <si>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</si>
  <si>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</si>
  <si>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</si>
  <si>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</si>
  <si>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</si>
  <si>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</si>
  <si>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</si>
  <si>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</si>
  <si>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</si>
  <si>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</si>
  <si>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</si>
  <si>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</si>
  <si>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</si>
  <si>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</si>
  <si>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</si>
  <si>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</si>
  <si>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</si>
  <si>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</si>
  <si>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</si>
  <si>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</si>
  <si>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</si>
  <si>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</si>
  <si>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</si>
  <si>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</si>
  <si>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</si>
  <si>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</si>
  <si>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</si>
  <si>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</si>
  <si>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</si>
  <si>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</si>
  <si>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</si>
  <si>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</si>
  <si>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</si>
  <si>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</si>
  <si>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</si>
  <si>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</si>
  <si>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</si>
  <si>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</si>
  <si>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</si>
  <si>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</si>
  <si>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</si>
  <si>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</si>
  <si>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</si>
  <si>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</si>
  <si>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</si>
  <si>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</si>
  <si>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</si>
  <si>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</si>
  <si>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</si>
  <si>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</si>
  <si>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</si>
  <si>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</si>
  <si>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</si>
  <si>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</si>
  <si>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</si>
  <si>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</si>
  <si>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</si>
  <si>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</si>
  <si>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</si>
  <si>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</si>
  <si>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</si>
  <si>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</si>
  <si>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</si>
  <si>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</si>
  <si>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</si>
  <si>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</si>
  <si>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</si>
  <si>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</si>
  <si>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</si>
  <si>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</si>
  <si>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</si>
  <si>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</si>
  <si>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</si>
  <si>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</si>
  <si>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</si>
  <si>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</si>
  <si>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</si>
  <si>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</si>
  <si>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</si>
  <si>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</si>
  <si>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</si>
  <si>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</si>
  <si>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</si>
  <si>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</si>
  <si>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</si>
  <si>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</si>
  <si>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</si>
  <si>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</si>
  <si>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</si>
  <si>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</si>
  <si>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</si>
  <si>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</si>
  <si>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</si>
  <si>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</si>
  <si>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</si>
  <si>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</si>
  <si>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</si>
  <si>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</si>
  <si>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</si>
  <si>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</si>
  <si>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</si>
  <si>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</si>
  <si>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</si>
  <si>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</si>
  <si>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</si>
  <si>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</si>
  <si>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</si>
  <si>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</si>
  <si>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</si>
  <si>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</si>
  <si>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</si>
  <si>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</si>
  <si>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</si>
  <si>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</si>
  <si>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</si>
  <si>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</si>
  <si>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</si>
  <si>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</si>
  <si>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</si>
  <si>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</si>
  <si>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</si>
  <si>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</si>
  <si>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</si>
  <si>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</si>
  <si>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</si>
  <si>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</si>
  <si>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</si>
  <si>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</si>
  <si>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</si>
  <si>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</si>
  <si>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</si>
  <si>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</si>
  <si>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</si>
  <si>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</si>
  <si>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</si>
  <si>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</si>
  <si>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</si>
  <si>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</si>
  <si>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</si>
  <si>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</si>
  <si>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</si>
  <si>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</si>
  <si>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</si>
  <si>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</si>
  <si>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</si>
  <si>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</si>
  <si>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</si>
  <si>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</si>
  <si>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</si>
  <si>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</si>
  <si>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</si>
  <si>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</si>
  <si>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</si>
  <si>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</si>
  <si>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</si>
  <si>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</si>
  <si>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</si>
  <si>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</si>
  <si>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</si>
  <si>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</si>
  <si>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</si>
  <si>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</si>
  <si>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</si>
  <si>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</si>
  <si>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</si>
  <si>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</si>
  <si>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</si>
  <si>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</si>
  <si>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</si>
  <si>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</si>
  <si>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</si>
  <si>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</si>
  <si>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</si>
  <si>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</si>
  <si>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</si>
  <si>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</si>
  <si>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</si>
  <si>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</si>
  <si>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</si>
  <si>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</si>
  <si>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</si>
  <si>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</si>
  <si>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</si>
  <si>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</si>
  <si>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</si>
  <si>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</si>
  <si>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</si>
  <si>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</si>
  <si>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</si>
  <si>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</si>
  <si>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</si>
  <si>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</si>
  <si>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</si>
  <si>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</si>
  <si>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</si>
  <si>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</si>
  <si>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</si>
  <si>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</si>
  <si>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</si>
  <si>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</si>
  <si>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</si>
  <si>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</si>
  <si>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</si>
  <si>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</si>
  <si>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</si>
  <si>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</si>
  <si>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</si>
  <si>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</si>
  <si>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</si>
  <si>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</si>
  <si>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</si>
  <si>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</si>
  <si>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</si>
  <si>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</si>
  <si>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</si>
  <si>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</si>
  <si>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</si>
  <si>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</si>
  <si>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</si>
  <si>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</si>
  <si>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</si>
  <si>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</si>
  <si>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</si>
  <si>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</si>
  <si>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</si>
  <si>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</si>
  <si>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</si>
  <si>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</si>
  <si>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</si>
  <si>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</si>
  <si>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</si>
  <si>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</si>
  <si>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</si>
  <si>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</si>
  <si>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</si>
  <si>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</si>
  <si>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</si>
  <si>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</si>
  <si>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</si>
  <si>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</si>
  <si>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</si>
  <si>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</si>
  <si>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</si>
  <si>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</si>
  <si>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</si>
  <si>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</si>
  <si>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</si>
  <si>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</si>
  <si>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</si>
  <si>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</si>
  <si>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</si>
  <si>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</si>
  <si>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</si>
  <si>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</si>
  <si>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</si>
  <si>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</si>
  <si>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</si>
  <si>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</si>
  <si>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</si>
  <si>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</si>
  <si>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</si>
  <si>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</si>
  <si>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</si>
  <si>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</si>
  <si>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</si>
  <si>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</si>
  <si>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</si>
  <si>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</si>
  <si>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</si>
  <si>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</si>
  <si>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</si>
  <si>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</si>
  <si>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</si>
  <si>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</si>
  <si>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</si>
  <si>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</si>
  <si>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</si>
  <si>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</si>
  <si>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</si>
  <si>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</si>
  <si>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</si>
  <si>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</si>
  <si>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</si>
  <si>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</si>
  <si>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</si>
  <si>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</si>
  <si>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</si>
  <si>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</si>
  <si>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</si>
  <si>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</si>
  <si>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</si>
  <si>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</si>
  <si>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</si>
  <si>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</si>
  <si>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</si>
  <si>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</si>
  <si>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</si>
  <si>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</si>
  <si>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</si>
  <si>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</si>
  <si>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</si>
  <si>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</si>
  <si>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</si>
  <si>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</si>
  <si>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</si>
  <si>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</si>
  <si>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</si>
  <si>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</si>
  <si>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</si>
  <si>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</si>
  <si>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</si>
  <si>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</si>
  <si>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</si>
  <si>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</si>
  <si>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</si>
  <si>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</si>
  <si>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</si>
  <si>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</si>
  <si>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</si>
  <si>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</si>
  <si>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</si>
  <si>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</si>
  <si>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</si>
  <si>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</si>
  <si>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</si>
  <si>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</si>
  <si>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</si>
  <si>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</si>
  <si>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</si>
  <si>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</si>
  <si>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</si>
  <si>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</si>
  <si>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</si>
  <si>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</si>
  <si>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</si>
  <si>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</si>
  <si>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</si>
  <si>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</si>
  <si>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</si>
  <si>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</si>
  <si>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</si>
  <si>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</si>
  <si>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08/13</t>
  </si>
  <si>
    <t>08/23</t>
  </si>
  <si>
    <t>.</t>
  </si>
  <si>
    <t>PRIOR YEAR AUDT ADJUSTMENT</t>
  </si>
  <si>
    <t>NORTH HAMPTON</t>
  </si>
  <si>
    <t>LGC Refund of  $108,779.11</t>
  </si>
  <si>
    <t>Primex Work Comp refund of $21,841.03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</si>
</sst>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zoomScaleNormal="10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405</v>
      </c>
      <c r="C2" s="21">
        <v>405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226810.18+133.61</f>
        <v>226943.78999999998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>
        <v>48741.440000000002</v>
      </c>
      <c r="J10" s="67">
        <f>SUM(I440)</f>
        <v>182353.17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13581.65</v>
      </c>
      <c r="G12" s="18">
        <v>882.44</v>
      </c>
      <c r="H12" s="18">
        <v>14464.09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2532.9499999999998</v>
      </c>
      <c r="G13" s="18">
        <v>2571.9299999999998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3708.05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8818.27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246766.43999999997</v>
      </c>
      <c r="G19" s="41">
        <f>SUM(G9:G18)</f>
        <v>12272.64</v>
      </c>
      <c r="H19" s="41">
        <f>SUM(H9:H18)</f>
        <v>14464.09</v>
      </c>
      <c r="I19" s="41">
        <f>SUM(I9:I18)</f>
        <v>48741.440000000002</v>
      </c>
      <c r="J19" s="41">
        <f>SUM(J9:J18)</f>
        <v>182353.17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14464.09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15994.6+1763.65</f>
        <v>17758.25</v>
      </c>
      <c r="G24" s="18">
        <v>331.35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2223.75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170.12+20343.04+4502.88+68.25</f>
        <v>25084.29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3123.02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45066.29</v>
      </c>
      <c r="G32" s="41">
        <f>SUM(G22:G31)</f>
        <v>3454.37</v>
      </c>
      <c r="H32" s="41">
        <f>SUM(H22:H31)</f>
        <v>14464.09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8818.27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48741.440000000002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115000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26031.13</v>
      </c>
      <c r="G48" s="18"/>
      <c r="H48" s="18"/>
      <c r="I48" s="18"/>
      <c r="J48" s="13">
        <f>SUM(I459)</f>
        <v>182353.17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10489.74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50179.28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201700.15</v>
      </c>
      <c r="G51" s="41">
        <f>SUM(G35:G50)</f>
        <v>8818.27</v>
      </c>
      <c r="H51" s="41">
        <f>SUM(H35:H50)</f>
        <v>0</v>
      </c>
      <c r="I51" s="41">
        <f>SUM(I35:I50)</f>
        <v>48741.440000000002</v>
      </c>
      <c r="J51" s="41">
        <f>SUM(J35:J50)</f>
        <v>182353.17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246766.44</v>
      </c>
      <c r="G52" s="41">
        <f>G51+G32</f>
        <v>12272.64</v>
      </c>
      <c r="H52" s="41">
        <f>H51+H32</f>
        <v>14464.09</v>
      </c>
      <c r="I52" s="41">
        <f>I51+I32</f>
        <v>48741.440000000002</v>
      </c>
      <c r="J52" s="41">
        <f>J51+J32</f>
        <v>182353.17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5840983.0199999996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5840983.0199999996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9710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9710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156.34</v>
      </c>
      <c r="G96" s="18"/>
      <c r="H96" s="18"/>
      <c r="I96" s="18">
        <v>28.72</v>
      </c>
      <c r="J96" s="18">
        <v>364.46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101510.52+682.32</f>
        <v>102192.84000000001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4224.2299999999996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34583.26+108779.11+1150.45</f>
        <v>144512.82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148893.39000000001</v>
      </c>
      <c r="G111" s="41">
        <f>SUM(G96:G110)</f>
        <v>102192.84000000001</v>
      </c>
      <c r="H111" s="41">
        <f>SUM(H96:H110)</f>
        <v>0</v>
      </c>
      <c r="I111" s="41">
        <f>SUM(I96:I110)</f>
        <v>28.72</v>
      </c>
      <c r="J111" s="41">
        <f>SUM(J96:J110)</f>
        <v>364.46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5999586.4099999992</v>
      </c>
      <c r="G112" s="41">
        <f>G60+G111</f>
        <v>102192.84000000001</v>
      </c>
      <c r="H112" s="41">
        <f>H60+H79+H94+H111</f>
        <v>0</v>
      </c>
      <c r="I112" s="41">
        <f>I60+I111</f>
        <v>28.72</v>
      </c>
      <c r="J112" s="41">
        <f>J60+J111</f>
        <v>364.46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173653.6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1783032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1956685.6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1902.17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1902.17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1956685.6</v>
      </c>
      <c r="G140" s="41">
        <f>G121+SUM(G136:G137)</f>
        <v>1902.17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4652.38+21541.83</f>
        <v>26194.210000000003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1933.72+23183.57</f>
        <v>25117.29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26922.52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108849.5+7872.51</f>
        <v>116722.01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47109.37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47109.37</v>
      </c>
      <c r="G162" s="41">
        <f>SUM(G150:G161)</f>
        <v>26922.52</v>
      </c>
      <c r="H162" s="41">
        <f>SUM(H150:H161)</f>
        <v>168033.51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>
        <v>12339.04</v>
      </c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47109.37</v>
      </c>
      <c r="G169" s="41">
        <f>G147+G162+SUM(G163:G168)</f>
        <v>39261.56</v>
      </c>
      <c r="H169" s="41">
        <f>H147+H162+SUM(H163:H168)</f>
        <v>168033.51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1200000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1200000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22193.45</v>
      </c>
      <c r="H179" s="18"/>
      <c r="I179" s="18"/>
      <c r="J179" s="18">
        <v>95000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22193.45</v>
      </c>
      <c r="H183" s="41">
        <f>SUM(H179:H182)</f>
        <v>0</v>
      </c>
      <c r="I183" s="41">
        <f>SUM(I179:I182)</f>
        <v>0</v>
      </c>
      <c r="J183" s="41">
        <f>SUM(J179:J182)</f>
        <v>95000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99000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99000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99000</v>
      </c>
      <c r="G192" s="41">
        <f>G183+SUM(G188:G191)</f>
        <v>22193.45</v>
      </c>
      <c r="H192" s="41">
        <f>+H183+SUM(H188:H191)</f>
        <v>0</v>
      </c>
      <c r="I192" s="41">
        <f>I177+I183+SUM(I188:I191)</f>
        <v>1200000</v>
      </c>
      <c r="J192" s="41">
        <f>J183</f>
        <v>95000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8102381.3799999999</v>
      </c>
      <c r="G193" s="47">
        <f>G112+G140+G169+G192</f>
        <v>165550.02000000002</v>
      </c>
      <c r="H193" s="47">
        <f>H112+H140+H169+H192</f>
        <v>168033.51</v>
      </c>
      <c r="I193" s="47">
        <f>I112+I140+I169+I192</f>
        <v>1200028.72</v>
      </c>
      <c r="J193" s="47">
        <f>J112+J140+J192</f>
        <v>95364.46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2225408.59</v>
      </c>
      <c r="G197" s="18">
        <f>1001502.16+0.02</f>
        <v>1001502.18</v>
      </c>
      <c r="H197" s="18">
        <v>18514.3</v>
      </c>
      <c r="I197" s="18">
        <v>71617.009999999995</v>
      </c>
      <c r="J197" s="18">
        <v>518.07000000000005</v>
      </c>
      <c r="K197" s="18"/>
      <c r="L197" s="19">
        <f>SUM(F197:K197)</f>
        <v>3317560.1499999994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1012749.8</v>
      </c>
      <c r="G198" s="18">
        <v>300599.84000000003</v>
      </c>
      <c r="H198" s="18">
        <f>172926.56+21500</f>
        <v>194426.56</v>
      </c>
      <c r="I198" s="18">
        <v>8133.21</v>
      </c>
      <c r="J198" s="18">
        <v>3733.94</v>
      </c>
      <c r="K198" s="18">
        <v>125</v>
      </c>
      <c r="L198" s="19">
        <f>SUM(F198:K198)</f>
        <v>1519768.35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29748</v>
      </c>
      <c r="G200" s="18">
        <v>2275.7199999999998</v>
      </c>
      <c r="H200" s="18">
        <v>52399.07</v>
      </c>
      <c r="I200" s="18">
        <f>6564.22+147.78+460.24</f>
        <v>7172.24</v>
      </c>
      <c r="J200" s="18">
        <v>3732.93</v>
      </c>
      <c r="K200" s="18">
        <f>3757.81+3500+1175</f>
        <v>8432.81</v>
      </c>
      <c r="L200" s="19">
        <f>SUM(F200:K200)</f>
        <v>103760.77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97178.94+52983.06+252749.14</f>
        <v>402911.14</v>
      </c>
      <c r="G202" s="18">
        <v>191491.57</v>
      </c>
      <c r="H202" s="18">
        <v>1200</v>
      </c>
      <c r="I202" s="18">
        <f>85.33+2255.08+1523.1</f>
        <v>3863.5099999999998</v>
      </c>
      <c r="J202" s="18">
        <v>1320</v>
      </c>
      <c r="K202" s="18"/>
      <c r="L202" s="19">
        <f t="shared" ref="L202:L208" si="0">SUM(F202:K202)</f>
        <v>600786.22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1400+97092.25+196741.02</f>
        <v>295233.27</v>
      </c>
      <c r="G203" s="18">
        <f>10754+113003.75</f>
        <v>123757.75</v>
      </c>
      <c r="H203" s="18">
        <f>29139.72+6580.19</f>
        <v>35719.910000000003</v>
      </c>
      <c r="I203" s="18">
        <f>1442.76+28488.87+31674.14</f>
        <v>61605.77</v>
      </c>
      <c r="J203" s="18">
        <f>1241+67583.34</f>
        <v>68824.34</v>
      </c>
      <c r="K203" s="18">
        <v>1487.76</v>
      </c>
      <c r="L203" s="19">
        <f t="shared" si="0"/>
        <v>586628.80000000005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12574</v>
      </c>
      <c r="G204" s="18">
        <v>961.91</v>
      </c>
      <c r="H204" s="18">
        <f>24090.42+193298</f>
        <v>217388.41999999998</v>
      </c>
      <c r="I204" s="18"/>
      <c r="J204" s="18"/>
      <c r="K204" s="18">
        <v>8521.34</v>
      </c>
      <c r="L204" s="19">
        <f t="shared" si="0"/>
        <v>239445.66999999998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318249.84000000003</v>
      </c>
      <c r="G205" s="18">
        <f>12665.12+123302.72</f>
        <v>135967.84</v>
      </c>
      <c r="H205" s="18">
        <v>12413.75</v>
      </c>
      <c r="I205" s="18">
        <v>1264.46</v>
      </c>
      <c r="J205" s="18"/>
      <c r="K205" s="18">
        <f>909+5000</f>
        <v>5909</v>
      </c>
      <c r="L205" s="19">
        <f t="shared" si="0"/>
        <v>473804.89000000007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186684.02</v>
      </c>
      <c r="G207" s="18">
        <v>123371.19</v>
      </c>
      <c r="H207" s="18">
        <f>96167.2+34366.6+1440.58+77500</f>
        <v>209474.37999999998</v>
      </c>
      <c r="I207" s="18">
        <v>151744.49</v>
      </c>
      <c r="J207" s="18">
        <v>9307.4699999999993</v>
      </c>
      <c r="K207" s="18"/>
      <c r="L207" s="19">
        <f t="shared" si="0"/>
        <v>680581.54999999993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318207.05+13841+4734.36+6501.18+7498</f>
        <v>350781.58999999997</v>
      </c>
      <c r="I208" s="18"/>
      <c r="J208" s="18"/>
      <c r="K208" s="18"/>
      <c r="L208" s="19">
        <f t="shared" si="0"/>
        <v>350781.58999999997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>
        <v>599</v>
      </c>
      <c r="L209" s="19">
        <f>SUM(F209:K209)</f>
        <v>599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4483558.6599999992</v>
      </c>
      <c r="G211" s="41">
        <f t="shared" si="1"/>
        <v>1879928</v>
      </c>
      <c r="H211" s="41">
        <f t="shared" si="1"/>
        <v>1092317.98</v>
      </c>
      <c r="I211" s="41">
        <f t="shared" si="1"/>
        <v>305400.68999999994</v>
      </c>
      <c r="J211" s="41">
        <f t="shared" si="1"/>
        <v>87436.75</v>
      </c>
      <c r="K211" s="41">
        <f t="shared" si="1"/>
        <v>25074.91</v>
      </c>
      <c r="L211" s="41">
        <f t="shared" si="1"/>
        <v>7873716.9899999984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51844.31</v>
      </c>
      <c r="I255" s="18"/>
      <c r="J255" s="18"/>
      <c r="K255" s="18"/>
      <c r="L255" s="19">
        <f t="shared" si="6"/>
        <v>51844.31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51844.31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51844.31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4483558.6599999992</v>
      </c>
      <c r="G257" s="41">
        <f t="shared" si="8"/>
        <v>1879928</v>
      </c>
      <c r="H257" s="41">
        <f t="shared" si="8"/>
        <v>1144162.29</v>
      </c>
      <c r="I257" s="41">
        <f t="shared" si="8"/>
        <v>305400.68999999994</v>
      </c>
      <c r="J257" s="41">
        <f t="shared" si="8"/>
        <v>87436.75</v>
      </c>
      <c r="K257" s="41">
        <f t="shared" si="8"/>
        <v>25074.91</v>
      </c>
      <c r="L257" s="41">
        <f t="shared" si="8"/>
        <v>7925561.299999998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32131.86</v>
      </c>
      <c r="L261" s="19">
        <f>SUM(F261:K261)</f>
        <v>32131.86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22193.45</v>
      </c>
      <c r="L263" s="19">
        <f>SUM(F263:K263)</f>
        <v>22193.45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95000</v>
      </c>
      <c r="L266" s="19">
        <f t="shared" si="9"/>
        <v>95000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149325.31</v>
      </c>
      <c r="L270" s="41">
        <f t="shared" si="9"/>
        <v>149325.31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4483558.6599999992</v>
      </c>
      <c r="G271" s="42">
        <f t="shared" si="11"/>
        <v>1879928</v>
      </c>
      <c r="H271" s="42">
        <f t="shared" si="11"/>
        <v>1144162.29</v>
      </c>
      <c r="I271" s="42">
        <f t="shared" si="11"/>
        <v>305400.68999999994</v>
      </c>
      <c r="J271" s="42">
        <f t="shared" si="11"/>
        <v>87436.75</v>
      </c>
      <c r="K271" s="42">
        <f t="shared" si="11"/>
        <v>174400.22</v>
      </c>
      <c r="L271" s="42">
        <f t="shared" si="11"/>
        <v>8074886.6099999975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42151</v>
      </c>
      <c r="G276" s="18">
        <v>3804.51</v>
      </c>
      <c r="H276" s="18">
        <v>1885.75</v>
      </c>
      <c r="I276" s="18">
        <v>414.17</v>
      </c>
      <c r="J276" s="18"/>
      <c r="K276" s="18"/>
      <c r="L276" s="19">
        <f>SUM(F276:K276)</f>
        <v>48255.43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72578.02</v>
      </c>
      <c r="G277" s="18">
        <v>14628.87</v>
      </c>
      <c r="H277" s="18">
        <v>19091.45</v>
      </c>
      <c r="I277" s="18"/>
      <c r="J277" s="18">
        <v>7688</v>
      </c>
      <c r="K277" s="18"/>
      <c r="L277" s="19">
        <f>SUM(F277:K277)</f>
        <v>113986.34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1771.5</v>
      </c>
      <c r="G279" s="18">
        <v>158.22999999999999</v>
      </c>
      <c r="H279" s="18"/>
      <c r="I279" s="18"/>
      <c r="J279" s="18"/>
      <c r="K279" s="18"/>
      <c r="L279" s="19">
        <f>SUM(F279:K279)</f>
        <v>1929.73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3862.01</v>
      </c>
      <c r="L283" s="19">
        <f t="shared" si="12"/>
        <v>3862.01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116500.52</v>
      </c>
      <c r="G290" s="42">
        <f t="shared" si="13"/>
        <v>18591.61</v>
      </c>
      <c r="H290" s="42">
        <f t="shared" si="13"/>
        <v>20977.200000000001</v>
      </c>
      <c r="I290" s="42">
        <f t="shared" si="13"/>
        <v>414.17</v>
      </c>
      <c r="J290" s="42">
        <f t="shared" si="13"/>
        <v>7688</v>
      </c>
      <c r="K290" s="42">
        <f t="shared" si="13"/>
        <v>3862.01</v>
      </c>
      <c r="L290" s="41">
        <f t="shared" si="13"/>
        <v>168033.51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116500.52</v>
      </c>
      <c r="G338" s="41">
        <f t="shared" si="20"/>
        <v>18591.61</v>
      </c>
      <c r="H338" s="41">
        <f t="shared" si="20"/>
        <v>20977.200000000001</v>
      </c>
      <c r="I338" s="41">
        <f t="shared" si="20"/>
        <v>414.17</v>
      </c>
      <c r="J338" s="41">
        <f t="shared" si="20"/>
        <v>7688</v>
      </c>
      <c r="K338" s="41">
        <f t="shared" si="20"/>
        <v>3862.01</v>
      </c>
      <c r="L338" s="41">
        <f t="shared" si="20"/>
        <v>168033.51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116500.52</v>
      </c>
      <c r="G352" s="41">
        <f>G338</f>
        <v>18591.61</v>
      </c>
      <c r="H352" s="41">
        <f>H338</f>
        <v>20977.200000000001</v>
      </c>
      <c r="I352" s="41">
        <f>I338</f>
        <v>414.17</v>
      </c>
      <c r="J352" s="41">
        <f>J338</f>
        <v>7688</v>
      </c>
      <c r="K352" s="47">
        <f>K338+K351</f>
        <v>3862.01</v>
      </c>
      <c r="L352" s="41">
        <f>L338+L351</f>
        <v>168033.51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36190.51+46806.96+543.09</f>
        <v>83540.56</v>
      </c>
      <c r="G358" s="18"/>
      <c r="H358" s="18">
        <v>799.34</v>
      </c>
      <c r="I358" s="18">
        <f>3627.5+45090.4+12339.04+5605.25</f>
        <v>66662.19</v>
      </c>
      <c r="J358" s="18">
        <v>4970.41</v>
      </c>
      <c r="K358" s="18">
        <v>949.5</v>
      </c>
      <c r="L358" s="13">
        <f>SUM(F358:K358)</f>
        <v>156922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83540.56</v>
      </c>
      <c r="G362" s="47">
        <f t="shared" si="22"/>
        <v>0</v>
      </c>
      <c r="H362" s="47">
        <f t="shared" si="22"/>
        <v>799.34</v>
      </c>
      <c r="I362" s="47">
        <f t="shared" si="22"/>
        <v>66662.19</v>
      </c>
      <c r="J362" s="47">
        <f t="shared" si="22"/>
        <v>4970.41</v>
      </c>
      <c r="K362" s="47">
        <f t="shared" si="22"/>
        <v>949.5</v>
      </c>
      <c r="L362" s="47">
        <f t="shared" si="22"/>
        <v>156922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45090.4+12339.04</f>
        <v>57429.440000000002</v>
      </c>
      <c r="G367" s="18"/>
      <c r="H367" s="18"/>
      <c r="I367" s="56">
        <f>SUM(F367:H367)</f>
        <v>57429.440000000002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3627.5+5605.25</f>
        <v>9232.75</v>
      </c>
      <c r="G368" s="63"/>
      <c r="H368" s="63"/>
      <c r="I368" s="56">
        <f>SUM(F368:H368)</f>
        <v>9232.75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66662.19</v>
      </c>
      <c r="G369" s="47">
        <f>SUM(G367:G368)</f>
        <v>0</v>
      </c>
      <c r="H369" s="47">
        <f>SUM(H367:H368)</f>
        <v>0</v>
      </c>
      <c r="I369" s="47">
        <f>SUM(I367:I368)</f>
        <v>66662.19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>
        <v>1151287.28</v>
      </c>
      <c r="K379" s="18"/>
      <c r="L379" s="13">
        <f t="shared" si="23"/>
        <v>1151287.28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1151287.28</v>
      </c>
      <c r="K382" s="47">
        <f t="shared" si="24"/>
        <v>0</v>
      </c>
      <c r="L382" s="47">
        <f t="shared" si="24"/>
        <v>1151287.28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0.5</v>
      </c>
      <c r="I389" s="18"/>
      <c r="J389" s="24" t="s">
        <v>289</v>
      </c>
      <c r="K389" s="24" t="s">
        <v>289</v>
      </c>
      <c r="L389" s="56">
        <f t="shared" si="25"/>
        <v>0.5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0.5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0.5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>
        <v>30000</v>
      </c>
      <c r="H395" s="18">
        <v>135.32</v>
      </c>
      <c r="I395" s="18"/>
      <c r="J395" s="24" t="s">
        <v>289</v>
      </c>
      <c r="K395" s="24" t="s">
        <v>289</v>
      </c>
      <c r="L395" s="56">
        <f t="shared" ref="L395:L400" si="26">SUM(F395:K395)</f>
        <v>30135.32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f>121.01</f>
        <v>121.01</v>
      </c>
      <c r="I396" s="18"/>
      <c r="J396" s="24" t="s">
        <v>289</v>
      </c>
      <c r="K396" s="24" t="s">
        <v>289</v>
      </c>
      <c r="L396" s="56">
        <f t="shared" si="26"/>
        <v>121.01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65000</v>
      </c>
      <c r="H397" s="18">
        <v>107.63</v>
      </c>
      <c r="I397" s="18"/>
      <c r="J397" s="24" t="s">
        <v>289</v>
      </c>
      <c r="K397" s="24" t="s">
        <v>289</v>
      </c>
      <c r="L397" s="56">
        <f t="shared" si="26"/>
        <v>65107.63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95000</v>
      </c>
      <c r="H401" s="47">
        <f>SUM(H395:H400)</f>
        <v>363.96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95363.959999999992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95000</v>
      </c>
      <c r="H408" s="47">
        <f>H393+H401+H407</f>
        <v>364.46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95364.459999999992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77500</v>
      </c>
      <c r="L422" s="56">
        <f t="shared" si="29"/>
        <v>77500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>
        <v>21500</v>
      </c>
      <c r="L423" s="56">
        <f t="shared" si="29"/>
        <v>21500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 t="s">
        <v>913</v>
      </c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99000</v>
      </c>
      <c r="L427" s="47">
        <f t="shared" si="30"/>
        <v>99000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99000</v>
      </c>
      <c r="L434" s="47">
        <f t="shared" si="32"/>
        <v>99000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182353.17</v>
      </c>
      <c r="H440" s="18"/>
      <c r="I440" s="56">
        <f t="shared" si="33"/>
        <v>182353.17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182353.17</v>
      </c>
      <c r="H446" s="13">
        <f>SUM(H439:H445)</f>
        <v>0</v>
      </c>
      <c r="I446" s="13">
        <f>SUM(I439:I445)</f>
        <v>182353.17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182353.17</v>
      </c>
      <c r="H459" s="18"/>
      <c r="I459" s="56">
        <f t="shared" si="34"/>
        <v>182353.17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182353.17</v>
      </c>
      <c r="H460" s="83">
        <f>SUM(H454:H459)</f>
        <v>0</v>
      </c>
      <c r="I460" s="83">
        <f>SUM(I454:I459)</f>
        <v>182353.17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182353.17</v>
      </c>
      <c r="H461" s="42">
        <f>H452+H460</f>
        <v>0</v>
      </c>
      <c r="I461" s="42">
        <f>I452+I460</f>
        <v>182353.17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177900.16</v>
      </c>
      <c r="G465" s="18">
        <v>190.25</v>
      </c>
      <c r="H465" s="18">
        <v>0</v>
      </c>
      <c r="I465" s="18">
        <v>0</v>
      </c>
      <c r="J465" s="18">
        <v>185988.71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8102381.3799999999</v>
      </c>
      <c r="G468" s="18">
        <v>165550.01999999999</v>
      </c>
      <c r="H468" s="18">
        <v>168033.51</v>
      </c>
      <c r="I468" s="18">
        <v>1200028.72</v>
      </c>
      <c r="J468" s="18">
        <v>95364.46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8102381.3799999999</v>
      </c>
      <c r="G470" s="53">
        <f>SUM(G468:G469)</f>
        <v>165550.01999999999</v>
      </c>
      <c r="H470" s="53">
        <f>SUM(H468:H469)</f>
        <v>168033.51</v>
      </c>
      <c r="I470" s="53">
        <f>SUM(I468:I469)</f>
        <v>1200028.72</v>
      </c>
      <c r="J470" s="53">
        <f>SUM(J468:J469)</f>
        <v>95364.46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8074886.6100000003</v>
      </c>
      <c r="G472" s="18">
        <v>156922</v>
      </c>
      <c r="H472" s="18">
        <v>168033.51</v>
      </c>
      <c r="I472" s="18">
        <v>1151287.28</v>
      </c>
      <c r="J472" s="18">
        <v>99000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3694.78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8078581.3900000006</v>
      </c>
      <c r="G474" s="53">
        <f>SUM(G472:G473)</f>
        <v>156922</v>
      </c>
      <c r="H474" s="53">
        <f>SUM(H472:H473)</f>
        <v>168033.51</v>
      </c>
      <c r="I474" s="53">
        <f>SUM(I472:I473)</f>
        <v>1151287.28</v>
      </c>
      <c r="J474" s="53">
        <f>SUM(J472:J473)</f>
        <v>99000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201700.14999999944</v>
      </c>
      <c r="G476" s="53">
        <f>(G465+G470)- G474</f>
        <v>8818.2699999999895</v>
      </c>
      <c r="H476" s="53">
        <f>(H465+H470)- H474</f>
        <v>0</v>
      </c>
      <c r="I476" s="53">
        <f>(I465+I470)- I474</f>
        <v>48741.439999999944</v>
      </c>
      <c r="J476" s="53">
        <f>(J465+J470)- J474</f>
        <v>182353.16999999998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914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1200000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2.61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1200000</v>
      </c>
      <c r="G496" s="18"/>
      <c r="H496" s="18"/>
      <c r="I496" s="18"/>
      <c r="J496" s="18"/>
      <c r="K496" s="53">
        <f t="shared" ref="K496:K503" si="35">SUM(F496:J496)</f>
        <v>1200000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0</v>
      </c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1044000</v>
      </c>
      <c r="G498" s="204"/>
      <c r="H498" s="204"/>
      <c r="I498" s="204"/>
      <c r="J498" s="204"/>
      <c r="K498" s="205">
        <f t="shared" si="35"/>
        <v>1044000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303835.75</v>
      </c>
      <c r="G499" s="18"/>
      <c r="H499" s="18"/>
      <c r="I499" s="18"/>
      <c r="J499" s="18"/>
      <c r="K499" s="53">
        <f t="shared" si="35"/>
        <v>303835.75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1347835.75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1347835.75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84000</v>
      </c>
      <c r="G501" s="204"/>
      <c r="H501" s="204"/>
      <c r="I501" s="204"/>
      <c r="J501" s="204"/>
      <c r="K501" s="205">
        <f t="shared" si="35"/>
        <v>84000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53739.5</v>
      </c>
      <c r="G502" s="18"/>
      <c r="H502" s="18"/>
      <c r="I502" s="18"/>
      <c r="J502" s="18"/>
      <c r="K502" s="53">
        <f t="shared" si="35"/>
        <v>53739.5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137739.5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137739.5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377447.35+501592.57+1787.5+72578.02</f>
        <v>953405.43999999994</v>
      </c>
      <c r="G521" s="18">
        <f>151809.25+98263.79+1750+65+137.1+5686.2+6471.52+229.96+289.09</f>
        <v>264701.91000000003</v>
      </c>
      <c r="H521" s="18">
        <f>165155.16+21500+19091.45</f>
        <v>205746.61000000002</v>
      </c>
      <c r="I521" s="18">
        <v>8133.21</v>
      </c>
      <c r="J521" s="18">
        <f>3733.94+7688</f>
        <v>11421.94</v>
      </c>
      <c r="K521" s="18"/>
      <c r="L521" s="88">
        <f>SUM(F521:K521)</f>
        <v>1443409.11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953405.43999999994</v>
      </c>
      <c r="G524" s="108">
        <f t="shared" ref="G524:L524" si="36">SUM(G521:G523)</f>
        <v>264701.91000000003</v>
      </c>
      <c r="H524" s="108">
        <f t="shared" si="36"/>
        <v>205746.61000000002</v>
      </c>
      <c r="I524" s="108">
        <f t="shared" si="36"/>
        <v>8133.21</v>
      </c>
      <c r="J524" s="108">
        <f t="shared" si="36"/>
        <v>11421.94</v>
      </c>
      <c r="K524" s="108">
        <f t="shared" si="36"/>
        <v>0</v>
      </c>
      <c r="L524" s="89">
        <f t="shared" si="36"/>
        <v>1443409.11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29802.5+252749.14+75207.06</f>
        <v>357758.7</v>
      </c>
      <c r="G526" s="18">
        <f>2464.67+41543.69+115424.49</f>
        <v>159432.85</v>
      </c>
      <c r="H526" s="18">
        <v>1523.1</v>
      </c>
      <c r="I526" s="18"/>
      <c r="J526" s="18"/>
      <c r="K526" s="18"/>
      <c r="L526" s="88">
        <f>SUM(F526:K526)</f>
        <v>518714.65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357758.7</v>
      </c>
      <c r="G529" s="89">
        <f t="shared" ref="G529:L529" si="37">SUM(G526:G528)</f>
        <v>159432.85</v>
      </c>
      <c r="H529" s="89">
        <f t="shared" si="37"/>
        <v>1523.1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518714.65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4500+22412.82</f>
        <v>26912.82</v>
      </c>
      <c r="G531" s="18">
        <f>388.35+6130.09</f>
        <v>6518.4400000000005</v>
      </c>
      <c r="H531" s="18"/>
      <c r="I531" s="18"/>
      <c r="J531" s="18"/>
      <c r="K531" s="18">
        <f>125+2551.16+184.51</f>
        <v>2860.67</v>
      </c>
      <c r="L531" s="88">
        <f>SUM(F531:K531)</f>
        <v>36291.93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26912.82</v>
      </c>
      <c r="G534" s="89">
        <f t="shared" ref="G534:L534" si="38">SUM(G531:G533)</f>
        <v>6518.4400000000005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2860.67</v>
      </c>
      <c r="L534" s="89">
        <f t="shared" si="38"/>
        <v>36291.93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7771.4</v>
      </c>
      <c r="I536" s="18"/>
      <c r="J536" s="18"/>
      <c r="K536" s="18"/>
      <c r="L536" s="88">
        <f>SUM(F536:K536)</f>
        <v>7771.4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7771.4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7771.4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13841</v>
      </c>
      <c r="I541" s="18"/>
      <c r="J541" s="18"/>
      <c r="K541" s="18"/>
      <c r="L541" s="88">
        <f>SUM(F541:K541)</f>
        <v>13841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13841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13841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1338076.96</v>
      </c>
      <c r="G545" s="89">
        <f t="shared" ref="G545:L545" si="41">G524+G529+G534+G539+G544</f>
        <v>430653.2</v>
      </c>
      <c r="H545" s="89">
        <f t="shared" si="41"/>
        <v>228882.11000000002</v>
      </c>
      <c r="I545" s="89">
        <f t="shared" si="41"/>
        <v>8133.21</v>
      </c>
      <c r="J545" s="89">
        <f t="shared" si="41"/>
        <v>11421.94</v>
      </c>
      <c r="K545" s="89">
        <f t="shared" si="41"/>
        <v>2860.67</v>
      </c>
      <c r="L545" s="89">
        <f t="shared" si="41"/>
        <v>2020028.09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1443409.11</v>
      </c>
      <c r="G549" s="87">
        <f>L526</f>
        <v>518714.65</v>
      </c>
      <c r="H549" s="87">
        <f>L531</f>
        <v>36291.93</v>
      </c>
      <c r="I549" s="87">
        <f>L536</f>
        <v>7771.4</v>
      </c>
      <c r="J549" s="87">
        <f>L541</f>
        <v>13841</v>
      </c>
      <c r="K549" s="87">
        <f>SUM(F549:J549)</f>
        <v>2020028.09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1443409.11</v>
      </c>
      <c r="G552" s="89">
        <f t="shared" si="42"/>
        <v>518714.65</v>
      </c>
      <c r="H552" s="89">
        <f t="shared" si="42"/>
        <v>36291.93</v>
      </c>
      <c r="I552" s="89">
        <f t="shared" si="42"/>
        <v>7771.4</v>
      </c>
      <c r="J552" s="89">
        <f t="shared" si="42"/>
        <v>13841</v>
      </c>
      <c r="K552" s="89">
        <f t="shared" si="42"/>
        <v>2020028.09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105455.15</v>
      </c>
      <c r="G582" s="18"/>
      <c r="H582" s="18"/>
      <c r="I582" s="87">
        <f t="shared" si="47"/>
        <v>105455.15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318207.05</v>
      </c>
      <c r="I591" s="18"/>
      <c r="J591" s="18"/>
      <c r="K591" s="104">
        <f t="shared" ref="K591:K597" si="48">SUM(H591:J591)</f>
        <v>318207.05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13841</v>
      </c>
      <c r="I592" s="18"/>
      <c r="J592" s="18"/>
      <c r="K592" s="104">
        <f t="shared" si="48"/>
        <v>13841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4734.3599999999997</v>
      </c>
      <c r="I594" s="18"/>
      <c r="J594" s="18"/>
      <c r="K594" s="104">
        <f t="shared" si="48"/>
        <v>4734.3599999999997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6501.18</v>
      </c>
      <c r="I595" s="18"/>
      <c r="J595" s="18"/>
      <c r="K595" s="104">
        <f t="shared" si="48"/>
        <v>6501.18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7498</v>
      </c>
      <c r="I597" s="18"/>
      <c r="J597" s="18"/>
      <c r="K597" s="104">
        <f t="shared" si="48"/>
        <v>7498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350781.58999999997</v>
      </c>
      <c r="I598" s="108">
        <f>SUM(I591:I597)</f>
        <v>0</v>
      </c>
      <c r="J598" s="108">
        <f>SUM(J591:J597)</f>
        <v>0</v>
      </c>
      <c r="K598" s="108">
        <f>SUM(K591:K597)</f>
        <v>350781.58999999997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7688+87436.75</f>
        <v>95124.75</v>
      </c>
      <c r="I604" s="18"/>
      <c r="J604" s="18"/>
      <c r="K604" s="104">
        <f>SUM(H604:J604)</f>
        <v>95124.75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95124.75</v>
      </c>
      <c r="I605" s="108">
        <f>SUM(I602:I604)</f>
        <v>0</v>
      </c>
      <c r="J605" s="108">
        <f>SUM(J602:J604)</f>
        <v>0</v>
      </c>
      <c r="K605" s="108">
        <f>SUM(K602:K604)</f>
        <v>95124.75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246766.43999999997</v>
      </c>
      <c r="H617" s="109">
        <f>SUM(F52)</f>
        <v>246766.44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12272.64</v>
      </c>
      <c r="H618" s="109">
        <f>SUM(G52)</f>
        <v>12272.64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14464.09</v>
      </c>
      <c r="H619" s="109">
        <f>SUM(H52)</f>
        <v>14464.09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48741.440000000002</v>
      </c>
      <c r="H620" s="109">
        <f>SUM(I52)</f>
        <v>48741.440000000002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182353.17</v>
      </c>
      <c r="H621" s="109">
        <f>SUM(J52)</f>
        <v>182353.17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201700.15</v>
      </c>
      <c r="H622" s="109">
        <f>F476</f>
        <v>201700.14999999944</v>
      </c>
      <c r="I622" s="121" t="s">
        <v>101</v>
      </c>
      <c r="J622" s="109">
        <f t="shared" ref="J622:J655" si="50">G622-H622</f>
        <v>5.5297277867794037E-10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8818.27</v>
      </c>
      <c r="H623" s="109">
        <f>G476</f>
        <v>8818.2699999999895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48741.440000000002</v>
      </c>
      <c r="H625" s="109">
        <f>I476</f>
        <v>48741.439999999944</v>
      </c>
      <c r="I625" s="121" t="s">
        <v>104</v>
      </c>
      <c r="J625" s="109">
        <f t="shared" si="50"/>
        <v>5.8207660913467407E-11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182353.17</v>
      </c>
      <c r="H626" s="109">
        <f>J476</f>
        <v>182353.16999999998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8102381.3799999999</v>
      </c>
      <c r="H627" s="104">
        <f>SUM(F468)</f>
        <v>8102381.3799999999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165550.02000000002</v>
      </c>
      <c r="H628" s="104">
        <f>SUM(G468)</f>
        <v>165550.01999999999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168033.51</v>
      </c>
      <c r="H629" s="104">
        <f>SUM(H468)</f>
        <v>168033.51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1200028.72</v>
      </c>
      <c r="H630" s="104">
        <f>SUM(I468)</f>
        <v>1200028.72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95364.46</v>
      </c>
      <c r="H631" s="104">
        <f>SUM(J468)</f>
        <v>95364.46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8074886.6099999975</v>
      </c>
      <c r="H632" s="104">
        <f>SUM(F472)</f>
        <v>8074886.6100000003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168033.51</v>
      </c>
      <c r="H633" s="104">
        <f>SUM(H472)</f>
        <v>168033.51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66662.19</v>
      </c>
      <c r="H634" s="104">
        <f>I369</f>
        <v>66662.19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156922</v>
      </c>
      <c r="H635" s="104">
        <f>SUM(G472)</f>
        <v>156922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1151287.28</v>
      </c>
      <c r="H636" s="104">
        <f>SUM(I472)</f>
        <v>1151287.28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95364.459999999992</v>
      </c>
      <c r="H637" s="164">
        <f>SUM(J468)</f>
        <v>95364.46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99000</v>
      </c>
      <c r="H638" s="164">
        <f>SUM(J472)</f>
        <v>99000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182353.17</v>
      </c>
      <c r="H640" s="104">
        <f>SUM(G461)</f>
        <v>182353.17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182353.17</v>
      </c>
      <c r="H642" s="104">
        <f>SUM(I461)</f>
        <v>182353.17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364.46</v>
      </c>
      <c r="H644" s="104">
        <f>H408</f>
        <v>364.46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95000</v>
      </c>
      <c r="H645" s="104">
        <f>G408</f>
        <v>95000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95364.46</v>
      </c>
      <c r="H646" s="104">
        <f>L408</f>
        <v>95364.459999999992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350781.58999999997</v>
      </c>
      <c r="H647" s="104">
        <f>L208+L226+L244</f>
        <v>350781.58999999997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95124.75</v>
      </c>
      <c r="H648" s="104">
        <f>(J257+J338)-(J255+J336)</f>
        <v>95124.75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350781.58999999997</v>
      </c>
      <c r="H649" s="104">
        <f>H598</f>
        <v>350781.58999999997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22193.45</v>
      </c>
      <c r="H652" s="104">
        <f>K263+K345</f>
        <v>22193.45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95000</v>
      </c>
      <c r="H655" s="104">
        <f>K266+K347</f>
        <v>95000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8198672.4999999981</v>
      </c>
      <c r="G660" s="19">
        <f>(L229+L309+L359)</f>
        <v>0</v>
      </c>
      <c r="H660" s="19">
        <f>(L247+L328+L360)</f>
        <v>0</v>
      </c>
      <c r="I660" s="19">
        <f>SUM(F660:H660)</f>
        <v>8198672.4999999981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102192.84000000001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102192.84000000001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350781.58999999997</v>
      </c>
      <c r="G662" s="19">
        <f>(L226+L306)-(J226+J306)</f>
        <v>0</v>
      </c>
      <c r="H662" s="19">
        <f>(L244+L325)-(J244+J325)</f>
        <v>0</v>
      </c>
      <c r="I662" s="19">
        <f>SUM(F662:H662)</f>
        <v>350781.58999999997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200579.9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200579.9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7545118.1699999981</v>
      </c>
      <c r="G664" s="19">
        <f>G660-SUM(G661:G663)</f>
        <v>0</v>
      </c>
      <c r="H664" s="19">
        <f>H660-SUM(H661:H663)</f>
        <v>0</v>
      </c>
      <c r="I664" s="19">
        <f>I660-SUM(I661:I663)</f>
        <v>7545118.1699999981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426.58</v>
      </c>
      <c r="G665" s="248"/>
      <c r="H665" s="248"/>
      <c r="I665" s="19">
        <f>SUM(F665:H665)</f>
        <v>426.58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17687.46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17687.46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17687.46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17687.46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NORTH HAMPTON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2267559.59</v>
      </c>
      <c r="C9" s="229">
        <f>'DOE25'!G197+'DOE25'!G215+'DOE25'!G233+'DOE25'!G276+'DOE25'!G295+'DOE25'!G314</f>
        <v>1005306.6900000001</v>
      </c>
    </row>
    <row r="10" spans="1:3" x14ac:dyDescent="0.2">
      <c r="A10" t="s">
        <v>779</v>
      </c>
      <c r="B10" s="240">
        <f>42151+2191871.34</f>
        <v>2234022.34</v>
      </c>
      <c r="C10" s="240">
        <f>3804.51+998920.27+0.02</f>
        <v>1002724.8</v>
      </c>
    </row>
    <row r="11" spans="1:3" x14ac:dyDescent="0.2">
      <c r="A11" t="s">
        <v>780</v>
      </c>
      <c r="B11" s="240">
        <f>3394.75+225</f>
        <v>3619.75</v>
      </c>
      <c r="C11" s="240">
        <v>293.2</v>
      </c>
    </row>
    <row r="12" spans="1:3" x14ac:dyDescent="0.2">
      <c r="A12" t="s">
        <v>781</v>
      </c>
      <c r="B12" s="240">
        <v>29917.5</v>
      </c>
      <c r="C12" s="240">
        <v>2288.69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2267559.59</v>
      </c>
      <c r="C13" s="231">
        <f>SUM(C10:C12)</f>
        <v>1005306.69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1085327.82</v>
      </c>
      <c r="C18" s="229">
        <f>'DOE25'!G198+'DOE25'!G216+'DOE25'!G234+'DOE25'!G277+'DOE25'!G296+'DOE25'!G315</f>
        <v>315228.71000000002</v>
      </c>
    </row>
    <row r="19" spans="1:3" x14ac:dyDescent="0.2">
      <c r="A19" t="s">
        <v>779</v>
      </c>
      <c r="B19" s="240">
        <f>72578.02+377447.35+75207.06</f>
        <v>525232.42999999993</v>
      </c>
      <c r="C19" s="240">
        <f>14628.87+151809.25+41543.69</f>
        <v>207981.81</v>
      </c>
    </row>
    <row r="20" spans="1:3" x14ac:dyDescent="0.2">
      <c r="A20" t="s">
        <v>780</v>
      </c>
      <c r="B20" s="240">
        <f>501592.57+1787.5</f>
        <v>503380.07</v>
      </c>
      <c r="C20" s="240">
        <v>98263.79</v>
      </c>
    </row>
    <row r="21" spans="1:3" x14ac:dyDescent="0.2">
      <c r="A21" t="s">
        <v>781</v>
      </c>
      <c r="B21" s="240">
        <f>4500+22412.82+29802.5</f>
        <v>56715.32</v>
      </c>
      <c r="C21" s="240">
        <f>388.35+6130.09+2464.67</f>
        <v>8983.11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1085327.82</v>
      </c>
      <c r="C22" s="231">
        <f>SUM(C19:C21)</f>
        <v>315228.70999999996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31519.5</v>
      </c>
      <c r="C36" s="235">
        <f>'DOE25'!G200+'DOE25'!G218+'DOE25'!G236+'DOE25'!G279+'DOE25'!G298+'DOE25'!G317</f>
        <v>2433.9499999999998</v>
      </c>
    </row>
    <row r="37" spans="1:3" x14ac:dyDescent="0.2">
      <c r="A37" t="s">
        <v>779</v>
      </c>
      <c r="B37" s="240">
        <v>1771.5</v>
      </c>
      <c r="C37" s="240">
        <v>158.22999999999999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29748</v>
      </c>
      <c r="C39" s="240">
        <v>2275.7199999999998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31519.5</v>
      </c>
      <c r="C40" s="231">
        <f>SUM(C37:C39)</f>
        <v>2433.9499999999998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7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NORTH HAMPTON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4941089.2699999996</v>
      </c>
      <c r="D5" s="20">
        <f>SUM('DOE25'!L197:L200)+SUM('DOE25'!L215:L218)+SUM('DOE25'!L233:L236)-F5-G5</f>
        <v>4924546.5199999996</v>
      </c>
      <c r="E5" s="243"/>
      <c r="F5" s="255">
        <f>SUM('DOE25'!J197:J200)+SUM('DOE25'!J215:J218)+SUM('DOE25'!J233:J236)</f>
        <v>7984.9400000000005</v>
      </c>
      <c r="G5" s="53">
        <f>SUM('DOE25'!K197:K200)+SUM('DOE25'!K215:K218)+SUM('DOE25'!K233:K236)</f>
        <v>8557.81</v>
      </c>
      <c r="H5" s="259"/>
    </row>
    <row r="6" spans="1:9" x14ac:dyDescent="0.2">
      <c r="A6" s="32">
        <v>2100</v>
      </c>
      <c r="B6" t="s">
        <v>801</v>
      </c>
      <c r="C6" s="245">
        <f t="shared" si="0"/>
        <v>600786.22</v>
      </c>
      <c r="D6" s="20">
        <f>'DOE25'!L202+'DOE25'!L220+'DOE25'!L238-F6-G6</f>
        <v>599466.22</v>
      </c>
      <c r="E6" s="243"/>
      <c r="F6" s="255">
        <f>'DOE25'!J202+'DOE25'!J220+'DOE25'!J238</f>
        <v>1320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586628.80000000005</v>
      </c>
      <c r="D7" s="20">
        <f>'DOE25'!L203+'DOE25'!L221+'DOE25'!L239-F7-G7</f>
        <v>516316.70000000007</v>
      </c>
      <c r="E7" s="243"/>
      <c r="F7" s="255">
        <f>'DOE25'!J203+'DOE25'!J221+'DOE25'!J239</f>
        <v>68824.34</v>
      </c>
      <c r="G7" s="53">
        <f>'DOE25'!K203+'DOE25'!K221+'DOE25'!K239</f>
        <v>1487.76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128122.96999999997</v>
      </c>
      <c r="D8" s="243"/>
      <c r="E8" s="20">
        <f>'DOE25'!L204+'DOE25'!L222+'DOE25'!L240-F8-G8-D9-D11</f>
        <v>119601.62999999998</v>
      </c>
      <c r="F8" s="255">
        <f>'DOE25'!J204+'DOE25'!J222+'DOE25'!J240</f>
        <v>0</v>
      </c>
      <c r="G8" s="53">
        <f>'DOE25'!K204+'DOE25'!K222+'DOE25'!K240</f>
        <v>8521.34</v>
      </c>
      <c r="H8" s="259"/>
    </row>
    <row r="9" spans="1:9" x14ac:dyDescent="0.2">
      <c r="A9" s="32">
        <v>2310</v>
      </c>
      <c r="B9" t="s">
        <v>818</v>
      </c>
      <c r="C9" s="245">
        <f t="shared" si="0"/>
        <v>45185.760000000002</v>
      </c>
      <c r="D9" s="244">
        <v>45185.760000000002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7913.5</v>
      </c>
      <c r="D10" s="243"/>
      <c r="E10" s="244">
        <v>7913.5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66136.94</v>
      </c>
      <c r="D11" s="244">
        <v>66136.94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473804.89000000007</v>
      </c>
      <c r="D12" s="20">
        <f>'DOE25'!L205+'DOE25'!L223+'DOE25'!L241-F12-G12</f>
        <v>467895.89000000007</v>
      </c>
      <c r="E12" s="243"/>
      <c r="F12" s="255">
        <f>'DOE25'!J205+'DOE25'!J223+'DOE25'!J241</f>
        <v>0</v>
      </c>
      <c r="G12" s="53">
        <f>'DOE25'!K205+'DOE25'!K223+'DOE25'!K241</f>
        <v>5909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680581.54999999993</v>
      </c>
      <c r="D14" s="20">
        <f>'DOE25'!L207+'DOE25'!L225+'DOE25'!L243-F14-G14</f>
        <v>671274.08</v>
      </c>
      <c r="E14" s="243"/>
      <c r="F14" s="255">
        <f>'DOE25'!J207+'DOE25'!J225+'DOE25'!J243</f>
        <v>9307.4699999999993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350781.58999999997</v>
      </c>
      <c r="D15" s="20">
        <f>'DOE25'!L208+'DOE25'!L226+'DOE25'!L244-F15-G15</f>
        <v>350781.58999999997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599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599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51844.31</v>
      </c>
      <c r="D22" s="243"/>
      <c r="E22" s="243"/>
      <c r="F22" s="255">
        <f>'DOE25'!L255+'DOE25'!L336</f>
        <v>51844.31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32131.86</v>
      </c>
      <c r="D25" s="243"/>
      <c r="E25" s="243"/>
      <c r="F25" s="258"/>
      <c r="G25" s="256"/>
      <c r="H25" s="257">
        <f>'DOE25'!L260+'DOE25'!L261+'DOE25'!L341+'DOE25'!L342</f>
        <v>32131.86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99492.56</v>
      </c>
      <c r="D29" s="20">
        <f>'DOE25'!L358+'DOE25'!L359+'DOE25'!L360-'DOE25'!I367-F29-G29</f>
        <v>93572.65</v>
      </c>
      <c r="E29" s="243"/>
      <c r="F29" s="255">
        <f>'DOE25'!J358+'DOE25'!J359+'DOE25'!J360</f>
        <v>4970.41</v>
      </c>
      <c r="G29" s="53">
        <f>'DOE25'!K358+'DOE25'!K359+'DOE25'!K360</f>
        <v>949.5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168033.51</v>
      </c>
      <c r="D31" s="20">
        <f>'DOE25'!L290+'DOE25'!L309+'DOE25'!L328+'DOE25'!L333+'DOE25'!L334+'DOE25'!L335-F31-G31</f>
        <v>156483.5</v>
      </c>
      <c r="E31" s="243"/>
      <c r="F31" s="255">
        <f>'DOE25'!J290+'DOE25'!J309+'DOE25'!J328+'DOE25'!J333+'DOE25'!J334+'DOE25'!J335</f>
        <v>7688</v>
      </c>
      <c r="G31" s="53">
        <f>'DOE25'!K290+'DOE25'!K309+'DOE25'!K328+'DOE25'!K333+'DOE25'!K334+'DOE25'!K335</f>
        <v>3862.01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7891659.8499999996</v>
      </c>
      <c r="E33" s="246">
        <f>SUM(E5:E31)</f>
        <v>127515.12999999998</v>
      </c>
      <c r="F33" s="246">
        <f>SUM(F5:F31)</f>
        <v>151939.47</v>
      </c>
      <c r="G33" s="246">
        <f>SUM(G5:G31)</f>
        <v>29886.42</v>
      </c>
      <c r="H33" s="246">
        <f>SUM(H5:H31)</f>
        <v>32131.86</v>
      </c>
    </row>
    <row r="35" spans="2:8" ht="12" thickBot="1" x14ac:dyDescent="0.25">
      <c r="B35" s="253" t="s">
        <v>847</v>
      </c>
      <c r="D35" s="254">
        <f>E33</f>
        <v>127515.12999999998</v>
      </c>
      <c r="E35" s="249"/>
    </row>
    <row r="36" spans="2:8" ht="12" thickTop="1" x14ac:dyDescent="0.2">
      <c r="B36" t="s">
        <v>815</v>
      </c>
      <c r="D36" s="20">
        <f>D33</f>
        <v>7891659.8499999996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 HAMPTON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226943.78999999998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48741.440000000002</v>
      </c>
      <c r="G9" s="95">
        <f>'DOE25'!J10</f>
        <v>182353.17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13581.65</v>
      </c>
      <c r="D11" s="95">
        <f>'DOE25'!G12</f>
        <v>882.44</v>
      </c>
      <c r="E11" s="95">
        <f>'DOE25'!H12</f>
        <v>14464.09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2532.9499999999998</v>
      </c>
      <c r="D12" s="95">
        <f>'DOE25'!G13</f>
        <v>2571.9299999999998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3708.05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8818.27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246766.43999999997</v>
      </c>
      <c r="D18" s="41">
        <f>SUM(D8:D17)</f>
        <v>12272.64</v>
      </c>
      <c r="E18" s="41">
        <f>SUM(E8:E17)</f>
        <v>14464.09</v>
      </c>
      <c r="F18" s="41">
        <f>SUM(F8:F17)</f>
        <v>48741.440000000002</v>
      </c>
      <c r="G18" s="41">
        <f>SUM(G8:G17)</f>
        <v>182353.17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14464.09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17758.25</v>
      </c>
      <c r="D23" s="95">
        <f>'DOE25'!G24</f>
        <v>331.35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2223.75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25084.29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3123.02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45066.29</v>
      </c>
      <c r="D31" s="41">
        <f>SUM(D21:D30)</f>
        <v>3454.37</v>
      </c>
      <c r="E31" s="41">
        <f>SUM(E21:E30)</f>
        <v>14464.09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8818.27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48741.440000000002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115000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26031.13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182353.17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10489.74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50179.28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201700.15</v>
      </c>
      <c r="D50" s="41">
        <f>SUM(D34:D49)</f>
        <v>8818.27</v>
      </c>
      <c r="E50" s="41">
        <f>SUM(E34:E49)</f>
        <v>0</v>
      </c>
      <c r="F50" s="41">
        <f>SUM(F34:F49)</f>
        <v>48741.440000000002</v>
      </c>
      <c r="G50" s="41">
        <f>SUM(G34:G49)</f>
        <v>182353.17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246766.44</v>
      </c>
      <c r="D51" s="41">
        <f>D50+D31</f>
        <v>12272.64</v>
      </c>
      <c r="E51" s="41">
        <f>E50+E31</f>
        <v>14464.09</v>
      </c>
      <c r="F51" s="41">
        <f>F50+F31</f>
        <v>48741.440000000002</v>
      </c>
      <c r="G51" s="41">
        <f>G50+G31</f>
        <v>182353.17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5840983.0199999996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9710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156.34</v>
      </c>
      <c r="D59" s="95">
        <f>'DOE25'!G96</f>
        <v>0</v>
      </c>
      <c r="E59" s="95">
        <f>'DOE25'!H96</f>
        <v>0</v>
      </c>
      <c r="F59" s="95">
        <f>'DOE25'!I96</f>
        <v>28.72</v>
      </c>
      <c r="G59" s="95">
        <f>'DOE25'!J96</f>
        <v>364.46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102192.84000000001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148737.05000000002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158603.39000000001</v>
      </c>
      <c r="D62" s="130">
        <f>SUM(D57:D61)</f>
        <v>102192.84000000001</v>
      </c>
      <c r="E62" s="130">
        <f>SUM(E57:E61)</f>
        <v>0</v>
      </c>
      <c r="F62" s="130">
        <f>SUM(F57:F61)</f>
        <v>28.72</v>
      </c>
      <c r="G62" s="130">
        <f>SUM(G57:G61)</f>
        <v>364.46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5999586.4099999992</v>
      </c>
      <c r="D63" s="22">
        <f>D56+D62</f>
        <v>102192.84000000001</v>
      </c>
      <c r="E63" s="22">
        <f>E56+E62</f>
        <v>0</v>
      </c>
      <c r="F63" s="22">
        <f>F56+F62</f>
        <v>28.72</v>
      </c>
      <c r="G63" s="22">
        <f>G56+G62</f>
        <v>364.46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173653.6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1783032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1956685.6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1902.17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1902.17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1956685.6</v>
      </c>
      <c r="D81" s="130">
        <f>SUM(D79:D80)+D78+D70</f>
        <v>1902.17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47109.37</v>
      </c>
      <c r="D88" s="95">
        <f>SUM('DOE25'!G153:G161)</f>
        <v>26922.52</v>
      </c>
      <c r="E88" s="95">
        <f>SUM('DOE25'!H153:H161)</f>
        <v>168033.51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12339.04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47109.37</v>
      </c>
      <c r="D91" s="131">
        <f>SUM(D85:D90)</f>
        <v>39261.56</v>
      </c>
      <c r="E91" s="131">
        <f>SUM(E85:E90)</f>
        <v>168033.51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1200000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22193.45</v>
      </c>
      <c r="E96" s="95">
        <f>'DOE25'!H179</f>
        <v>0</v>
      </c>
      <c r="F96" s="95">
        <f>'DOE25'!I179</f>
        <v>0</v>
      </c>
      <c r="G96" s="95">
        <f>'DOE25'!J179</f>
        <v>95000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99000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99000</v>
      </c>
      <c r="D103" s="86">
        <f>SUM(D93:D102)</f>
        <v>22193.45</v>
      </c>
      <c r="E103" s="86">
        <f>SUM(E93:E102)</f>
        <v>0</v>
      </c>
      <c r="F103" s="86">
        <f>SUM(F93:F102)</f>
        <v>1200000</v>
      </c>
      <c r="G103" s="86">
        <f>SUM(G93:G102)</f>
        <v>95000</v>
      </c>
    </row>
    <row r="104" spans="1:7" ht="12.75" thickTop="1" thickBot="1" x14ac:dyDescent="0.25">
      <c r="A104" s="33" t="s">
        <v>765</v>
      </c>
      <c r="C104" s="86">
        <f>C63+C81+C91+C103</f>
        <v>8102381.3799999999</v>
      </c>
      <c r="D104" s="86">
        <f>D63+D81+D91+D103</f>
        <v>165550.02000000002</v>
      </c>
      <c r="E104" s="86">
        <f>E63+E81+E91+E103</f>
        <v>168033.51</v>
      </c>
      <c r="F104" s="86">
        <f>F63+F81+F91+F103</f>
        <v>1200028.72</v>
      </c>
      <c r="G104" s="86">
        <f>G63+G81+G103</f>
        <v>95364.46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3317560.1499999994</v>
      </c>
      <c r="D109" s="24" t="s">
        <v>289</v>
      </c>
      <c r="E109" s="95">
        <f>('DOE25'!L276)+('DOE25'!L295)+('DOE25'!L314)</f>
        <v>48255.43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1519768.35</v>
      </c>
      <c r="D110" s="24" t="s">
        <v>289</v>
      </c>
      <c r="E110" s="95">
        <f>('DOE25'!L277)+('DOE25'!L296)+('DOE25'!L315)</f>
        <v>113986.34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103760.77</v>
      </c>
      <c r="D112" s="24" t="s">
        <v>289</v>
      </c>
      <c r="E112" s="95">
        <f>+('DOE25'!L279)+('DOE25'!L298)+('DOE25'!L317)</f>
        <v>1929.73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4941089.2699999996</v>
      </c>
      <c r="D115" s="86">
        <f>SUM(D109:D114)</f>
        <v>0</v>
      </c>
      <c r="E115" s="86">
        <f>SUM(E109:E114)</f>
        <v>164171.5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600786.22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586628.80000000005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239445.66999999998</v>
      </c>
      <c r="D120" s="24" t="s">
        <v>289</v>
      </c>
      <c r="E120" s="95">
        <f>+('DOE25'!L283)+('DOE25'!L302)+('DOE25'!L321)</f>
        <v>3862.01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473804.89000000007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680581.54999999993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350781.58999999997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599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156922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2932627.7199999997</v>
      </c>
      <c r="D128" s="86">
        <f>SUM(D118:D127)</f>
        <v>156922</v>
      </c>
      <c r="E128" s="86">
        <f>SUM(E118:E127)</f>
        <v>3862.01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51844.31</v>
      </c>
      <c r="D130" s="24" t="s">
        <v>289</v>
      </c>
      <c r="E130" s="129">
        <f>'DOE25'!L336</f>
        <v>0</v>
      </c>
      <c r="F130" s="129">
        <f>SUM('DOE25'!L374:'DOE25'!L380)</f>
        <v>1151287.28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32131.86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99000</v>
      </c>
    </row>
    <row r="135" spans="1:7" x14ac:dyDescent="0.2">
      <c r="A135" t="s">
        <v>233</v>
      </c>
      <c r="B135" s="32" t="s">
        <v>234</v>
      </c>
      <c r="C135" s="95">
        <f>'DOE25'!L263</f>
        <v>22193.45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0.5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95363.959999999992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-364.45999999999185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201169.62</v>
      </c>
      <c r="D144" s="141">
        <f>SUM(D130:D143)</f>
        <v>0</v>
      </c>
      <c r="E144" s="141">
        <f>SUM(E130:E143)</f>
        <v>0</v>
      </c>
      <c r="F144" s="141">
        <f>SUM(F130:F143)</f>
        <v>1151287.28</v>
      </c>
      <c r="G144" s="141">
        <f>SUM(G130:G143)</f>
        <v>99000</v>
      </c>
    </row>
    <row r="145" spans="1:9" ht="12.75" thickTop="1" thickBot="1" x14ac:dyDescent="0.25">
      <c r="A145" s="33" t="s">
        <v>244</v>
      </c>
      <c r="C145" s="86">
        <f>(C115+C128+C144)</f>
        <v>8074886.6099999994</v>
      </c>
      <c r="D145" s="86">
        <f>(D115+D128+D144)</f>
        <v>156922</v>
      </c>
      <c r="E145" s="86">
        <f>(E115+E128+E144)</f>
        <v>168033.51</v>
      </c>
      <c r="F145" s="86">
        <f>(F115+F128+F144)</f>
        <v>1151287.28</v>
      </c>
      <c r="G145" s="86">
        <f>(G115+G128+G144)</f>
        <v>99000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1200000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2.61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1200000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1200000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1044000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1044000</v>
      </c>
    </row>
    <row r="160" spans="1:9" x14ac:dyDescent="0.2">
      <c r="A160" s="22" t="s">
        <v>36</v>
      </c>
      <c r="B160" s="137">
        <f>'DOE25'!F499</f>
        <v>303835.75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303835.75</v>
      </c>
    </row>
    <row r="161" spans="1:7" x14ac:dyDescent="0.2">
      <c r="A161" s="22" t="s">
        <v>37</v>
      </c>
      <c r="B161" s="137">
        <f>'DOE25'!F500</f>
        <v>1347835.75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1347835.75</v>
      </c>
    </row>
    <row r="162" spans="1:7" x14ac:dyDescent="0.2">
      <c r="A162" s="22" t="s">
        <v>38</v>
      </c>
      <c r="B162" s="137">
        <f>'DOE25'!F501</f>
        <v>84000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84000</v>
      </c>
    </row>
    <row r="163" spans="1:7" x14ac:dyDescent="0.2">
      <c r="A163" s="22" t="s">
        <v>39</v>
      </c>
      <c r="B163" s="137">
        <f>'DOE25'!F502</f>
        <v>53739.5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53739.5</v>
      </c>
    </row>
    <row r="164" spans="1:7" x14ac:dyDescent="0.2">
      <c r="A164" s="22" t="s">
        <v>246</v>
      </c>
      <c r="B164" s="137">
        <f>'DOE25'!F503</f>
        <v>137739.5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137739.5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NORTH HAMPTON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17687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17687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3365816</v>
      </c>
      <c r="D10" s="182">
        <f>ROUND((C10/$C$28)*100,1)</f>
        <v>41.4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1633755</v>
      </c>
      <c r="D11" s="182">
        <f>ROUND((C11/$C$28)*100,1)</f>
        <v>20.100000000000001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105691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600786</v>
      </c>
      <c r="D15" s="182">
        <f t="shared" ref="D15:D27" si="0">ROUND((C15/$C$28)*100,1)</f>
        <v>7.4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586629</v>
      </c>
      <c r="D16" s="182">
        <f t="shared" si="0"/>
        <v>7.2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243907</v>
      </c>
      <c r="D17" s="182">
        <f t="shared" si="0"/>
        <v>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473805</v>
      </c>
      <c r="D18" s="182">
        <f t="shared" si="0"/>
        <v>5.8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680582</v>
      </c>
      <c r="D20" s="182">
        <f t="shared" si="0"/>
        <v>8.4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350782</v>
      </c>
      <c r="D21" s="182">
        <f t="shared" si="0"/>
        <v>4.3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32132</v>
      </c>
      <c r="D25" s="182">
        <f t="shared" si="0"/>
        <v>0.4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54729.159999999989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8128614.1600000001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1203132</v>
      </c>
    </row>
    <row r="30" spans="1:4" x14ac:dyDescent="0.2">
      <c r="B30" s="187" t="s">
        <v>729</v>
      </c>
      <c r="C30" s="180">
        <f>SUM(C28:C29)</f>
        <v>9331746.1600000001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5840983</v>
      </c>
      <c r="D35" s="182">
        <f t="shared" ref="D35:D40" si="1">ROUND((C35/$C$41)*100,1)</f>
        <v>71.099999999999994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158996.58999999892</v>
      </c>
      <c r="D36" s="182">
        <f t="shared" si="1"/>
        <v>1.9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1956686</v>
      </c>
      <c r="D37" s="182">
        <f t="shared" si="1"/>
        <v>23.8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1902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254404</v>
      </c>
      <c r="D39" s="182">
        <f t="shared" si="1"/>
        <v>3.1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8212971.5899999989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1200000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tabSelected="1" workbookViewId="0">
      <pane ySplit="3" topLeftCell="A4" activePane="bottomLeft" state="frozen"/>
      <selection activeCell="F46" sqref="F46"/>
      <selection pane="bottomLeft" activeCell="B9" sqref="B9:M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NORTH HAMPTON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34</v>
      </c>
      <c r="C4" s="285" t="s">
        <v>916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917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2014-08-28T12:48:06Z</cp:lastPrinted>
  <dcterms:created xsi:type="dcterms:W3CDTF">1997-12-04T19:04:30Z</dcterms:created>
  <dcterms:modified xsi:type="dcterms:W3CDTF">2014-09-04T15:10:10Z</dcterms:modified>
</cp:coreProperties>
</file>