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B38" i="12"/>
  <c r="C19" i="12"/>
  <c r="C20" i="12"/>
  <c r="B19" i="12"/>
  <c r="B20" i="12"/>
  <c r="C10" i="12"/>
  <c r="B10" i="12"/>
  <c r="B11" i="12"/>
  <c r="J604" i="1"/>
  <c r="H604" i="1"/>
  <c r="I207" i="1"/>
  <c r="J207" i="1"/>
  <c r="H207" i="1"/>
  <c r="I243" i="1"/>
  <c r="H243" i="1"/>
  <c r="G207" i="1"/>
  <c r="G243" i="1"/>
  <c r="F243" i="1"/>
  <c r="F207" i="1"/>
  <c r="G205" i="1"/>
  <c r="K241" i="1"/>
  <c r="K205" i="1"/>
  <c r="J205" i="1"/>
  <c r="I241" i="1"/>
  <c r="I205" i="1"/>
  <c r="H205" i="1"/>
  <c r="H241" i="1"/>
  <c r="G241" i="1"/>
  <c r="F205" i="1"/>
  <c r="F241" i="1"/>
  <c r="I239" i="1"/>
  <c r="G239" i="1"/>
  <c r="G203" i="1"/>
  <c r="F239" i="1"/>
  <c r="F203" i="1"/>
  <c r="I203" i="1"/>
  <c r="H239" i="1"/>
  <c r="H203" i="1"/>
  <c r="I238" i="1"/>
  <c r="I202" i="1"/>
  <c r="K202" i="1"/>
  <c r="H202" i="1"/>
  <c r="H238" i="1"/>
  <c r="G238" i="1"/>
  <c r="G202" i="1"/>
  <c r="F238" i="1"/>
  <c r="F202" i="1"/>
  <c r="G236" i="1"/>
  <c r="G200" i="1"/>
  <c r="F200" i="1"/>
  <c r="F236" i="1"/>
  <c r="I236" i="1"/>
  <c r="J200" i="1"/>
  <c r="I200" i="1"/>
  <c r="H200" i="1"/>
  <c r="H236" i="1"/>
  <c r="G234" i="1"/>
  <c r="G198" i="1"/>
  <c r="F234" i="1"/>
  <c r="F198" i="1"/>
  <c r="K198" i="1"/>
  <c r="K234" i="1"/>
  <c r="I234" i="1"/>
  <c r="I198" i="1"/>
  <c r="H198" i="1"/>
  <c r="H234" i="1"/>
  <c r="I197" i="1"/>
  <c r="I233" i="1"/>
  <c r="G233" i="1"/>
  <c r="J197" i="1"/>
  <c r="H197" i="1"/>
  <c r="H233" i="1"/>
  <c r="K233" i="1"/>
  <c r="K197" i="1"/>
  <c r="J233" i="1"/>
  <c r="G197" i="1"/>
  <c r="F233" i="1"/>
  <c r="F197" i="1"/>
  <c r="F665" i="1"/>
  <c r="H594" i="1"/>
  <c r="H592" i="1"/>
  <c r="F582" i="1"/>
  <c r="F579" i="1"/>
  <c r="H541" i="1"/>
  <c r="K531" i="1"/>
  <c r="I531" i="1"/>
  <c r="H533" i="1"/>
  <c r="H531" i="1"/>
  <c r="G533" i="1"/>
  <c r="G531" i="1"/>
  <c r="F531" i="1"/>
  <c r="F533" i="1"/>
  <c r="K521" i="1"/>
  <c r="I523" i="1"/>
  <c r="I521" i="1"/>
  <c r="H526" i="1"/>
  <c r="H523" i="1"/>
  <c r="H521" i="1"/>
  <c r="G523" i="1"/>
  <c r="G521" i="1"/>
  <c r="F523" i="1"/>
  <c r="F521" i="1"/>
  <c r="H255" i="1"/>
  <c r="J314" i="1"/>
  <c r="I314" i="1"/>
  <c r="H314" i="1"/>
  <c r="G314" i="1"/>
  <c r="J276" i="1"/>
  <c r="I276" i="1"/>
  <c r="H276" i="1"/>
  <c r="G276" i="1"/>
  <c r="F22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D14" i="13" s="1"/>
  <c r="C14" i="13" s="1"/>
  <c r="F15" i="13"/>
  <c r="G15" i="13"/>
  <c r="L208" i="1"/>
  <c r="G649" i="1" s="1"/>
  <c r="J649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E31" i="2" s="1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C123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H645" i="1"/>
  <c r="G650" i="1"/>
  <c r="G652" i="1"/>
  <c r="H652" i="1"/>
  <c r="G653" i="1"/>
  <c r="H653" i="1"/>
  <c r="G654" i="1"/>
  <c r="H654" i="1"/>
  <c r="H655" i="1"/>
  <c r="J655" i="1" s="1"/>
  <c r="L256" i="1"/>
  <c r="C18" i="2"/>
  <c r="C26" i="10"/>
  <c r="L328" i="1"/>
  <c r="L351" i="1"/>
  <c r="L290" i="1"/>
  <c r="A31" i="12"/>
  <c r="C70" i="2"/>
  <c r="D18" i="13"/>
  <c r="C18" i="13" s="1"/>
  <c r="D17" i="13"/>
  <c r="C17" i="13" s="1"/>
  <c r="F78" i="2"/>
  <c r="F81" i="2" s="1"/>
  <c r="C78" i="2"/>
  <c r="D50" i="2"/>
  <c r="G157" i="2"/>
  <c r="F18" i="2"/>
  <c r="G161" i="2"/>
  <c r="E103" i="2"/>
  <c r="D91" i="2"/>
  <c r="E62" i="2"/>
  <c r="E63" i="2" s="1"/>
  <c r="G62" i="2"/>
  <c r="D19" i="13"/>
  <c r="C19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J644" i="1"/>
  <c r="J643" i="1"/>
  <c r="H476" i="1"/>
  <c r="H624" i="1" s="1"/>
  <c r="J624" i="1" s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C29" i="10"/>
  <c r="H140" i="1"/>
  <c r="L393" i="1"/>
  <c r="F22" i="13"/>
  <c r="H25" i="13"/>
  <c r="C25" i="13" s="1"/>
  <c r="H571" i="1"/>
  <c r="L560" i="1"/>
  <c r="J545" i="1"/>
  <c r="F338" i="1"/>
  <c r="F352" i="1" s="1"/>
  <c r="H192" i="1"/>
  <c r="E128" i="2"/>
  <c r="L309" i="1"/>
  <c r="E16" i="13"/>
  <c r="L570" i="1"/>
  <c r="I571" i="1"/>
  <c r="J636" i="1"/>
  <c r="G36" i="2"/>
  <c r="L565" i="1"/>
  <c r="C22" i="13"/>
  <c r="C138" i="2"/>
  <c r="C16" i="13"/>
  <c r="H33" i="13"/>
  <c r="K598" i="1" l="1"/>
  <c r="G647" i="1" s="1"/>
  <c r="C91" i="2"/>
  <c r="C124" i="2"/>
  <c r="G651" i="1"/>
  <c r="C21" i="10"/>
  <c r="D15" i="13"/>
  <c r="C15" i="13" s="1"/>
  <c r="H647" i="1"/>
  <c r="J651" i="1"/>
  <c r="F662" i="1"/>
  <c r="I662" i="1" s="1"/>
  <c r="D12" i="13"/>
  <c r="C12" i="13" s="1"/>
  <c r="C18" i="10"/>
  <c r="C121" i="2"/>
  <c r="L211" i="1"/>
  <c r="F660" i="1" s="1"/>
  <c r="F664" i="1" s="1"/>
  <c r="F672" i="1" s="1"/>
  <c r="C4" i="10" s="1"/>
  <c r="C120" i="2"/>
  <c r="E8" i="13"/>
  <c r="C8" i="13" s="1"/>
  <c r="C119" i="2"/>
  <c r="D7" i="13"/>
  <c r="C7" i="13" s="1"/>
  <c r="C16" i="10"/>
  <c r="K257" i="1"/>
  <c r="K271" i="1" s="1"/>
  <c r="D6" i="13"/>
  <c r="C6" i="13" s="1"/>
  <c r="C118" i="2"/>
  <c r="C13" i="10"/>
  <c r="F257" i="1"/>
  <c r="F271" i="1" s="1"/>
  <c r="I257" i="1"/>
  <c r="I271" i="1" s="1"/>
  <c r="C112" i="2"/>
  <c r="G257" i="1"/>
  <c r="G271" i="1" s="1"/>
  <c r="C109" i="2"/>
  <c r="J257" i="1"/>
  <c r="J271" i="1" s="1"/>
  <c r="H257" i="1"/>
  <c r="H271" i="1" s="1"/>
  <c r="L247" i="1"/>
  <c r="D5" i="13"/>
  <c r="C5" i="13" s="1"/>
  <c r="L544" i="1"/>
  <c r="K545" i="1"/>
  <c r="H545" i="1"/>
  <c r="G545" i="1"/>
  <c r="K549" i="1"/>
  <c r="L529" i="1"/>
  <c r="L545" i="1" s="1"/>
  <c r="K551" i="1"/>
  <c r="K503" i="1"/>
  <c r="J640" i="1"/>
  <c r="I460" i="1"/>
  <c r="I461" i="1" s="1"/>
  <c r="H642" i="1" s="1"/>
  <c r="J634" i="1"/>
  <c r="F661" i="1"/>
  <c r="D29" i="13"/>
  <c r="C29" i="13" s="1"/>
  <c r="H661" i="1"/>
  <c r="L362" i="1"/>
  <c r="C27" i="10" s="1"/>
  <c r="D127" i="2"/>
  <c r="D128" i="2" s="1"/>
  <c r="D145" i="2" s="1"/>
  <c r="H338" i="1"/>
  <c r="H352" i="1" s="1"/>
  <c r="C10" i="10"/>
  <c r="J338" i="1"/>
  <c r="J352" i="1" s="1"/>
  <c r="G645" i="1"/>
  <c r="J645" i="1" s="1"/>
  <c r="C81" i="2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E104" i="2"/>
  <c r="I663" i="1"/>
  <c r="G635" i="1"/>
  <c r="J635" i="1" s="1"/>
  <c r="J647" i="1" l="1"/>
  <c r="L257" i="1"/>
  <c r="L271" i="1" s="1"/>
  <c r="G632" i="1" s="1"/>
  <c r="J632" i="1" s="1"/>
  <c r="E33" i="13"/>
  <c r="D35" i="13" s="1"/>
  <c r="C128" i="2"/>
  <c r="C115" i="2"/>
  <c r="H660" i="1"/>
  <c r="H664" i="1" s="1"/>
  <c r="H672" i="1" s="1"/>
  <c r="C6" i="10" s="1"/>
  <c r="H646" i="1"/>
  <c r="J646" i="1" s="1"/>
  <c r="K552" i="1"/>
  <c r="I661" i="1"/>
  <c r="F667" i="1"/>
  <c r="C28" i="10"/>
  <c r="D23" i="10" s="1"/>
  <c r="H648" i="1"/>
  <c r="J648" i="1" s="1"/>
  <c r="G104" i="2"/>
  <c r="C104" i="2"/>
  <c r="G672" i="1"/>
  <c r="C5" i="10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0" i="1"/>
  <c r="I664" i="1" s="1"/>
  <c r="I672" i="1" s="1"/>
  <c r="C7" i="10" s="1"/>
  <c r="D20" i="10"/>
  <c r="D13" i="10"/>
  <c r="D21" i="10"/>
  <c r="D25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<sst xmlns="http://schemas.openxmlformats.org/spreadsheetml/2006/main" count="3958" uniqueCount="916">
  <si>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</si>
  <si>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</si>
  <si>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</si>
  <si>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</si>
  <si>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</si>
  <si>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</si>
  <si>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</si>
  <si>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</si>
  <si>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</si>
  <si>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</si>
  <si>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</si>
  <si>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</si>
  <si>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</si>
  <si>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</si>
  <si>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</si>
  <si>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</si>
  <si>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</si>
  <si>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</si>
  <si>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</si>
  <si>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</si>
  <si>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</si>
  <si>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</si>
  <si>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</si>
  <si>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</si>
  <si>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</si>
  <si>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</si>
  <si>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</si>
  <si>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</si>
  <si>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</si>
  <si>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</si>
  <si>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</si>
  <si>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</si>
  <si>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</si>
  <si>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</si>
  <si>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</si>
  <si>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</si>
  <si>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</si>
  <si>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</si>
  <si>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</si>
  <si>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</si>
  <si>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</si>
  <si>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</si>
  <si>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</si>
  <si>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</si>
  <si>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</si>
  <si>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</si>
  <si>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</si>
  <si>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</si>
  <si>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</si>
  <si>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</si>
  <si>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</si>
  <si>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</si>
  <si>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</si>
  <si>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</si>
  <si>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</si>
  <si>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</si>
  <si>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</si>
  <si>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</si>
  <si>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</si>
  <si>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</si>
  <si>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</si>
  <si>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</si>
  <si>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</si>
  <si>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</si>
  <si>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</si>
  <si>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</si>
  <si>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</si>
  <si>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</si>
  <si>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</si>
  <si>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</si>
  <si>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</si>
  <si>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</si>
  <si>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</si>
  <si>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</si>
  <si>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</si>
  <si>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</si>
  <si>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</si>
  <si>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</si>
  <si>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</si>
  <si>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</si>
  <si>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</si>
  <si>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</si>
  <si>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</si>
  <si>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</si>
  <si>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</si>
  <si>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</si>
  <si>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</si>
  <si>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</si>
  <si>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</si>
  <si>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</si>
  <si>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</si>
  <si>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</si>
  <si>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</si>
  <si>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</si>
  <si>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</si>
  <si>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</si>
  <si>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</si>
  <si>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</si>
  <si>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</si>
  <si>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</si>
  <si>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</si>
  <si>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</si>
  <si>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</si>
  <si>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</si>
  <si>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</si>
  <si>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</si>
  <si>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</si>
  <si>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</si>
  <si>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</si>
  <si>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</si>
  <si>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</si>
  <si>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</si>
  <si>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</si>
  <si>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</si>
  <si>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</si>
  <si>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</si>
  <si>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</si>
  <si>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</si>
  <si>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</si>
  <si>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</si>
  <si>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</si>
  <si>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</si>
  <si>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</si>
  <si>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</si>
  <si>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</si>
  <si>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</si>
  <si>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</si>
  <si>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</si>
  <si>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</si>
  <si>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</si>
  <si>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</si>
  <si>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</si>
  <si>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</si>
  <si>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</si>
  <si>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</si>
  <si>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</si>
  <si>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</si>
  <si>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</si>
  <si>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</si>
  <si>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</si>
  <si>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</si>
  <si>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</si>
  <si>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</si>
  <si>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</si>
  <si>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</si>
  <si>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</si>
  <si>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</si>
  <si>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</si>
  <si>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</si>
  <si>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</si>
  <si>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</si>
  <si>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</si>
  <si>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</si>
  <si>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</si>
  <si>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</si>
  <si>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</si>
  <si>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</si>
  <si>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</si>
  <si>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</si>
  <si>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</si>
  <si>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</si>
  <si>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</si>
  <si>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</si>
  <si>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</si>
  <si>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</si>
  <si>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</si>
  <si>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</si>
  <si>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</si>
  <si>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</si>
  <si>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</si>
  <si>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</si>
  <si>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</si>
  <si>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</si>
  <si>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</si>
  <si>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</si>
  <si>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</si>
  <si>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</si>
  <si>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</si>
  <si>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</si>
  <si>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</si>
  <si>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</si>
  <si>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</si>
  <si>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</si>
  <si>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</si>
  <si>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</si>
  <si>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</si>
  <si>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</si>
  <si>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</si>
  <si>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</si>
  <si>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</si>
  <si>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</si>
  <si>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</si>
  <si>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</si>
  <si>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</si>
  <si>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</si>
  <si>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</si>
  <si>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</si>
  <si>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</si>
  <si>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</si>
  <si>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</si>
  <si>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</si>
  <si>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</si>
  <si>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</si>
  <si>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</si>
  <si>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</si>
  <si>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</si>
  <si>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</si>
  <si>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</si>
  <si>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</si>
  <si>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</si>
  <si>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</si>
  <si>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</si>
  <si>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</si>
  <si>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</si>
  <si>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</si>
  <si>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</si>
  <si>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</si>
  <si>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</si>
  <si>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</si>
  <si>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</si>
  <si>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</si>
  <si>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</si>
  <si>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</si>
  <si>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</si>
  <si>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</si>
  <si>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</si>
  <si>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</si>
  <si>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</si>
  <si>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</si>
  <si>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</si>
  <si>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</si>
  <si>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</si>
  <si>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</si>
  <si>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</si>
  <si>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</si>
  <si>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</si>
  <si>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</si>
  <si>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</si>
  <si>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</si>
  <si>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</si>
  <si>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</si>
  <si>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</si>
  <si>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</si>
  <si>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</si>
  <si>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</si>
  <si>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</si>
  <si>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</si>
  <si>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</si>
  <si>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</si>
  <si>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</si>
  <si>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</si>
  <si>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</si>
  <si>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</si>
  <si>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</si>
  <si>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</si>
  <si>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</si>
  <si>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</si>
  <si>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</si>
  <si>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</si>
  <si>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</si>
  <si>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</si>
  <si>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</si>
  <si>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</si>
  <si>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</si>
  <si>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</si>
  <si>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</si>
  <si>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</si>
  <si>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</si>
  <si>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</si>
  <si>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</si>
  <si>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</si>
  <si>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</si>
  <si>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</si>
  <si>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</si>
  <si>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</si>
  <si>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</si>
  <si>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</si>
  <si>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</si>
  <si>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</si>
  <si>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</si>
  <si>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</si>
  <si>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</si>
  <si>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</si>
  <si>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</si>
  <si>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</si>
  <si>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</si>
  <si>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</si>
  <si>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</si>
  <si>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</si>
  <si>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</si>
  <si>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</si>
  <si>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</si>
  <si>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</si>
  <si>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</si>
  <si>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</si>
  <si>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</si>
  <si>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</si>
  <si>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</si>
  <si>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</si>
  <si>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</si>
  <si>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</si>
  <si>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</si>
  <si>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</si>
  <si>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</si>
  <si>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</si>
  <si>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</si>
  <si>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</si>
  <si>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</si>
  <si>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</si>
  <si>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</si>
  <si>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</si>
  <si>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</si>
  <si>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</si>
  <si>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</si>
  <si>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</si>
  <si>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</si>
  <si>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</si>
  <si>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</si>
  <si>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</si>
  <si>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</si>
  <si>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</si>
  <si>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</si>
  <si>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</si>
  <si>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</si>
  <si>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</si>
  <si>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</si>
  <si>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</si>
  <si>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</si>
  <si>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</si>
  <si>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</si>
  <si>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</si>
  <si>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</si>
  <si>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</si>
  <si>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</si>
  <si>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</si>
  <si>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</si>
  <si>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</si>
  <si>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</si>
  <si>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</si>
  <si>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</si>
  <si>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</si>
  <si>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</si>
  <si>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</si>
  <si>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</si>
  <si>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</si>
  <si>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</si>
  <si>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</si>
  <si>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</si>
  <si>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</si>
  <si>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</si>
  <si>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</si>
  <si>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</si>
  <si>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</si>
  <si>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</si>
  <si>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</si>
  <si>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</si>
  <si>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</si>
  <si>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</si>
  <si>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</si>
  <si>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</si>
  <si>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</si>
  <si>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</si>
  <si>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</si>
  <si>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</si>
  <si>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</si>
  <si>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</si>
  <si>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</si>
  <si>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</si>
  <si>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</si>
  <si>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</si>
  <si>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</si>
  <si>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</si>
  <si>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</si>
  <si>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</si>
  <si>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</si>
  <si>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</si>
  <si>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</si>
  <si>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</si>
  <si>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</si>
  <si>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</si>
  <si>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</si>
  <si>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</si>
  <si>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</si>
  <si>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</si>
  <si>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</si>
  <si>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</si>
  <si>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</si>
  <si>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</si>
  <si>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</si>
  <si>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</si>
  <si>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</si>
  <si>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</si>
  <si>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</si>
  <si>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</si>
  <si>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</si>
  <si>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</si>
  <si>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</si>
  <si>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</si>
  <si>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</si>
  <si>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</si>
  <si>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</si>
  <si>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</si>
  <si>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</si>
  <si>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</si>
  <si>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</si>
  <si>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</si>
  <si>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</si>
  <si>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</si>
  <si>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</si>
  <si>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</si>
  <si>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</si>
  <si>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</si>
  <si>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</si>
  <si>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</si>
  <si>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</si>
  <si>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</si>
  <si>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</si>
  <si>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</si>
  <si>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</si>
  <si>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</si>
  <si>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</si>
  <si>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</si>
  <si>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</si>
  <si>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</si>
  <si>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</si>
  <si>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</si>
  <si>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</si>
  <si>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</si>
  <si>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</si>
  <si>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</si>
  <si>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</si>
  <si>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</si>
  <si>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</si>
  <si>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</si>
  <si>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</si>
  <si>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</si>
  <si>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</si>
  <si>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</si>
  <si>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</si>
  <si>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</si>
  <si>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</si>
  <si>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</si>
  <si>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</si>
  <si>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</si>
  <si>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</si>
  <si>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</si>
  <si>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</si>
  <si>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</si>
  <si>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</si>
  <si>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</si>
  <si>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</si>
  <si>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</si>
  <si>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</si>
  <si>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</si>
  <si>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</si>
  <si>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</si>
  <si>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</si>
  <si>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</si>
  <si>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</si>
  <si>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</si>
  <si>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</si>
  <si>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</si>
  <si>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</si>
  <si>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</si>
  <si>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</si>
  <si>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</si>
  <si>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</si>
  <si>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</si>
  <si>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</si>
  <si>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</si>
  <si>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</si>
  <si>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</si>
  <si>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</si>
  <si>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</si>
  <si>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</si>
  <si>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</si>
  <si>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</si>
  <si>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</si>
  <si>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</si>
  <si>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</si>
  <si>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</si>
  <si>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</si>
  <si>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</si>
  <si>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</si>
  <si>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</si>
  <si>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</si>
  <si>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</si>
  <si>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</si>
  <si>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</si>
  <si>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</si>
  <si>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</si>
  <si>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</si>
  <si>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</si>
  <si>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</si>
  <si>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</si>
  <si>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</si>
  <si>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</si>
  <si>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</si>
  <si>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</si>
  <si>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</si>
  <si>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</si>
  <si>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</si>
  <si>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</si>
  <si>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</si>
  <si>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</si>
  <si>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</si>
  <si>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</si>
  <si>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</si>
  <si>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</si>
  <si>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</si>
  <si>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</si>
  <si>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</si>
  <si>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</si>
  <si>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</si>
  <si>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</si>
  <si>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</si>
  <si>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</si>
  <si>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</si>
  <si>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</si>
  <si>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</si>
  <si>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</si>
  <si>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</si>
  <si>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</si>
  <si>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</si>
  <si>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</si>
  <si>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</si>
  <si>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</si>
  <si>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</si>
  <si>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</si>
  <si>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</si>
  <si>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</si>
  <si>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</si>
  <si>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</si>
  <si>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</si>
  <si>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</si>
  <si>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</si>
  <si>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</si>
  <si>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</si>
  <si>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</si>
  <si>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</si>
  <si>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</si>
  <si>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</si>
  <si>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</si>
  <si>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</si>
  <si>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</si>
  <si>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</si>
  <si>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</si>
  <si>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</si>
  <si>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</si>
  <si>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</si>
  <si>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</si>
  <si>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</si>
  <si>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</si>
  <si>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</si>
  <si>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</si>
  <si>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</si>
  <si>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</si>
  <si>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</si>
  <si>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</si>
  <si>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</si>
  <si>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</si>
  <si>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</si>
  <si>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</si>
  <si>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</si>
  <si>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</si>
  <si>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</si>
  <si>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</si>
  <si>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</si>
  <si>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</si>
  <si>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</si>
  <si>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</si>
  <si>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</si>
  <si>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</si>
  <si>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</si>
  <si>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</si>
  <si>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</si>
  <si>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</si>
  <si>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</si>
  <si>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</si>
  <si>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</si>
  <si>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</si>
  <si>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</si>
  <si>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</si>
  <si>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</si>
  <si>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</si>
  <si>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</si>
  <si>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</si>
  <si>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</si>
  <si>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</si>
  <si>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</si>
  <si>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</si>
  <si>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</si>
  <si>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</si>
  <si>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</si>
  <si>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</si>
  <si>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</si>
  <si>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</si>
  <si>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</si>
  <si>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</si>
  <si>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</si>
  <si>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</si>
  <si>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</si>
  <si>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</si>
  <si>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</si>
  <si>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</si>
  <si>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</si>
  <si>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</si>
  <si>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</si>
  <si>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</si>
  <si>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</si>
  <si>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</si>
  <si>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</si>
  <si>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</si>
  <si>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</si>
  <si>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</si>
  <si>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</si>
  <si>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</si>
  <si>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</si>
  <si>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</si>
  <si>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</si>
  <si>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</si>
  <si>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</si>
  <si>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</si>
  <si>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</si>
  <si>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</si>
  <si>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</si>
  <si>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</si>
  <si>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</si>
  <si>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</si>
  <si>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</si>
  <si>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</si>
  <si>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</si>
  <si>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</si>
  <si>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</si>
  <si>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</si>
  <si>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</si>
  <si>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</si>
  <si>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</si>
  <si>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</si>
  <si>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</si>
  <si>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</si>
  <si>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</si>
  <si>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</si>
  <si>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</si>
  <si>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</si>
  <si>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</si>
  <si>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</si>
  <si>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</si>
  <si>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</si>
  <si>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</si>
  <si>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</si>
  <si>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</si>
  <si>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</si>
  <si>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</si>
  <si>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</si>
  <si>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</si>
  <si>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</si>
  <si>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</si>
  <si>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</si>
  <si>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</si>
  <si>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</si>
  <si>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</si>
  <si>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</si>
  <si>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</si>
  <si>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</si>
  <si>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</si>
  <si>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</si>
  <si>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</si>
  <si>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</si>
  <si>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</si>
  <si>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</si>
  <si>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</si>
  <si>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</si>
  <si>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</si>
  <si>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</si>
  <si>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</si>
  <si>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</si>
  <si>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</si>
  <si>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</si>
  <si>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</si>
  <si>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</si>
  <si>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</si>
  <si>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</si>
  <si>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</si>
  <si>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</si>
  <si>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</si>
  <si>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</si>
  <si>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</si>
  <si>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</si>
  <si>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</si>
  <si>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</si>
  <si>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</si>
  <si>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</si>
  <si>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</si>
  <si>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</si>
  <si>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</si>
  <si>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</si>
  <si>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</si>
  <si>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</si>
  <si>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</si>
  <si>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</si>
  <si>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</si>
  <si>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</si>
  <si>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</si>
  <si>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</si>
  <si>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</si>
  <si>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</si>
  <si>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</si>
  <si>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</si>
  <si>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</si>
  <si>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</si>
  <si>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</si>
  <si>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</si>
  <si>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</si>
  <si>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</si>
  <si>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</si>
  <si>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</si>
  <si>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</si>
  <si>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</si>
  <si>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</si>
  <si>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</si>
  <si>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</si>
  <si>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</si>
  <si>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</si>
  <si>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</si>
  <si>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</si>
  <si>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</si>
  <si>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</si>
  <si>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</si>
  <si>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</si>
  <si>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</si>
  <si>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</si>
  <si>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</si>
  <si>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</si>
  <si>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</si>
  <si>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</si>
  <si>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</si>
  <si>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</si>
  <si>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</si>
  <si>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</si>
  <si>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</si>
  <si>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</si>
  <si>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</si>
  <si>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</si>
  <si>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</si>
  <si>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</si>
  <si>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</si>
  <si>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</si>
  <si>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</si>
  <si>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</si>
  <si>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</si>
  <si>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</si>
  <si>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</si>
  <si>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</si>
  <si>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</si>
  <si>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</si>
  <si>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</si>
  <si>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</si>
  <si>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</si>
  <si>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</si>
  <si>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</si>
  <si>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</si>
  <si>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</si>
  <si>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</si>
  <si>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</si>
  <si>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</si>
  <si>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</si>
  <si>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</si>
  <si>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</si>
  <si>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</si>
  <si>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</si>
  <si>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</si>
  <si>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</si>
  <si>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</si>
  <si>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</si>
  <si>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</si>
  <si>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</si>
  <si>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</si>
  <si>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</si>
  <si>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</si>
  <si>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</si>
  <si>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</si>
  <si>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</si>
  <si>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</si>
  <si>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</si>
  <si>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</si>
  <si>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</si>
  <si>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</si>
  <si>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</si>
  <si>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</si>
  <si>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</si>
  <si>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</si>
  <si>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</si>
  <si>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</si>
  <si>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</si>
  <si>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</si>
  <si>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</si>
  <si>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</si>
  <si>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</si>
  <si>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</si>
  <si>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</si>
  <si>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</si>
  <si>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</si>
  <si>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</si>
  <si>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</si>
  <si>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</si>
  <si>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</si>
  <si>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</si>
  <si>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</si>
  <si>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</si>
  <si>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</si>
  <si>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</si>
  <si>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</si>
  <si>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</si>
  <si>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</si>
  <si>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</si>
  <si>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</si>
  <si>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</si>
  <si>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</si>
  <si>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</si>
  <si>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</si>
  <si>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</si>
  <si>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</si>
  <si>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</si>
  <si>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</si>
  <si>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</si>
  <si>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</si>
  <si>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</si>
  <si>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</si>
  <si>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</si>
  <si>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</si>
  <si>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</si>
  <si>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</si>
  <si>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</si>
  <si>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</si>
  <si>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</si>
  <si>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</si>
  <si>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</si>
  <si>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</si>
  <si>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</si>
  <si>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</si>
  <si>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</si>
  <si>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</si>
  <si>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</si>
  <si>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</si>
  <si>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</si>
  <si>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</si>
  <si>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</si>
  <si>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</si>
  <si>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</si>
  <si>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</si>
  <si>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</si>
  <si>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</si>
  <si>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</si>
  <si>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</si>
  <si>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</si>
  <si>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</si>
  <si>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</si>
  <si>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</si>
  <si>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</si>
  <si>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</si>
  <si>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</si>
  <si>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</si>
  <si>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</si>
  <si>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</si>
  <si>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</si>
  <si>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</si>
  <si>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</si>
  <si>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</si>
  <si>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</si>
  <si>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</si>
  <si>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</si>
  <si>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</si>
  <si>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</si>
  <si>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</si>
  <si>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</si>
  <si>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</si>
  <si>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</si>
  <si>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</si>
  <si>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</si>
  <si>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</si>
  <si>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</si>
  <si>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</si>
  <si>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</si>
  <si>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</si>
  <si>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</si>
  <si>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</si>
  <si>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</si>
  <si>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</si>
  <si>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</si>
  <si>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</si>
  <si>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</si>
  <si>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</si>
  <si>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</si>
  <si>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</si>
  <si>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</si>
  <si>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</si>
  <si>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</si>
  <si>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</si>
  <si>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</si>
  <si>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</si>
  <si>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</si>
  <si>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</si>
  <si>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</si>
  <si>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</si>
  <si>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</si>
  <si>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</si>
  <si>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</si>
  <si>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</si>
  <si>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</si>
  <si>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</si>
  <si>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09/10</t>
  </si>
  <si>
    <t>06/01</t>
  </si>
  <si>
    <t>06/15</t>
  </si>
  <si>
    <t>09/20</t>
  </si>
  <si>
    <t>NORTHUMBERLAND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</si>
</sst>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407</v>
      </c>
      <c r="C2" s="21">
        <v>407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79469.34+301094.71</f>
        <v>380564.05000000005</v>
      </c>
      <c r="G9" s="18"/>
      <c r="H9" s="18"/>
      <c r="I9" s="18"/>
      <c r="J9" s="67">
        <f>SUM(I439)</f>
        <v>316337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46501.59+7703.94</f>
        <v>54205.53</v>
      </c>
      <c r="G12" s="18">
        <v>0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6661.92</v>
      </c>
      <c r="G14" s="18">
        <v>7703.94</v>
      </c>
      <c r="H14" s="18">
        <v>46501.59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441431.50000000006</v>
      </c>
      <c r="G19" s="41">
        <f>SUM(G9:G18)</f>
        <v>7703.94</v>
      </c>
      <c r="H19" s="41">
        <f>SUM(H9:H18)</f>
        <v>46501.59</v>
      </c>
      <c r="I19" s="41">
        <f>SUM(I9:I18)</f>
        <v>0</v>
      </c>
      <c r="J19" s="41">
        <f>SUM(J9:J18)</f>
        <v>316337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0</f>
        <v>0</v>
      </c>
      <c r="G22" s="18">
        <v>7703.94</v>
      </c>
      <c r="H22" s="18">
        <v>46501.59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109905.28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6330.43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116235.70999999999</v>
      </c>
      <c r="G32" s="41">
        <f>SUM(G22:G31)</f>
        <v>7703.94</v>
      </c>
      <c r="H32" s="41">
        <f>SUM(H22:H31)</f>
        <v>46501.59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316337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42783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282412.78999999998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325195.78999999998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316337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441431.5</v>
      </c>
      <c r="G52" s="41">
        <f>G51+G32</f>
        <v>7703.94</v>
      </c>
      <c r="H52" s="41">
        <f>H51+H32</f>
        <v>46501.59</v>
      </c>
      <c r="I52" s="41">
        <f>I51+I32</f>
        <v>0</v>
      </c>
      <c r="J52" s="41">
        <f>J51+J32</f>
        <v>316337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1479042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1479042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655458.88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218385.02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873843.9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1898.32</v>
      </c>
      <c r="G96" s="18"/>
      <c r="H96" s="18"/>
      <c r="I96" s="18"/>
      <c r="J96" s="18">
        <v>83.55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58207.12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10000.08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7292.95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19191.349999999999</v>
      </c>
      <c r="G111" s="41">
        <f>SUM(G96:G110)</f>
        <v>58207.12</v>
      </c>
      <c r="H111" s="41">
        <f>SUM(H96:H110)</f>
        <v>0</v>
      </c>
      <c r="I111" s="41">
        <f>SUM(I96:I110)</f>
        <v>0</v>
      </c>
      <c r="J111" s="41">
        <f>SUM(J96:J110)</f>
        <v>83.55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2372077.25</v>
      </c>
      <c r="G112" s="41">
        <f>G60+G111</f>
        <v>58207.12</v>
      </c>
      <c r="H112" s="41">
        <f>H60+H79+H94+H111</f>
        <v>0</v>
      </c>
      <c r="I112" s="41">
        <f>I60+I111</f>
        <v>0</v>
      </c>
      <c r="J112" s="41">
        <f>J60+J111</f>
        <v>83.55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2639838.6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232277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2872115.6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20571.419999999998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12323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2397.38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32894.42</v>
      </c>
      <c r="G136" s="41">
        <f>SUM(G123:G135)</f>
        <v>2397.38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2905010.02</v>
      </c>
      <c r="G140" s="41">
        <f>G121+SUM(G136:G137)</f>
        <v>2397.38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243278.16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79984.28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115846.77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98941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56848.04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155789.04</v>
      </c>
      <c r="G162" s="41">
        <f>SUM(G150:G161)</f>
        <v>115846.77</v>
      </c>
      <c r="H162" s="41">
        <f>SUM(H150:H161)</f>
        <v>323262.44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592.96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156382</v>
      </c>
      <c r="G169" s="41">
        <f>G147+G162+SUM(G163:G168)</f>
        <v>115846.77</v>
      </c>
      <c r="H169" s="41">
        <f>H147+H162+SUM(H163:H168)</f>
        <v>323262.44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6197.36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6197.36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14247.86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50000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50000</v>
      </c>
      <c r="G183" s="41">
        <f>SUM(G179:G182)</f>
        <v>14247.86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56197.36</v>
      </c>
      <c r="G192" s="41">
        <f>G183+SUM(G188:G191)</f>
        <v>14247.86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5489666.6299999999</v>
      </c>
      <c r="G193" s="47">
        <f>G112+G140+G169+G192</f>
        <v>190699.13</v>
      </c>
      <c r="H193" s="47">
        <f>H112+H140+H169+H192</f>
        <v>323262.44</v>
      </c>
      <c r="I193" s="47">
        <f>I112+I140+I169+I192</f>
        <v>0</v>
      </c>
      <c r="J193" s="47">
        <f>J112+J140+J192</f>
        <v>50083.55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466132.83+352314.2+270+9287.5+3139+15041+19740.06+7695.42+10275.38+6300.06</f>
        <v>890195.45000000019</v>
      </c>
      <c r="G197" s="18">
        <f>89195.41+86936.35+2335.53+1750.16+487.42+347.84+39516.04+27652.7+64573.4+50209.04+3743.93+5232.65+350.01+2167.08+3247.19+1545.33+449.56+163.94+50.8+118.43</f>
        <v>380072.81000000006</v>
      </c>
      <c r="H197" s="18">
        <f>328+3745.07+2482.76+339.01+100+855.93+300+2465.41+1360.1</f>
        <v>11976.28</v>
      </c>
      <c r="I197" s="18">
        <f>4676.4+2312.85+294.84+833.9+438.79+795+548.56+69+916.26+2159.93+188+1482.97+1024.23+95+651.38+1703.22+586.19+1038.73+39+1467.56+1500+439.08+1029.18+64.4+360+253.15+213.41+376.42+192.88+1794.08+378.99+916.8+365.07+196.93+67.2+2360.71+2255.09+264+3120+0.4</f>
        <v>37469.600000000006</v>
      </c>
      <c r="J197" s="18">
        <f>289.99+461.05+259.99+536.42+454.41+499+157.63</f>
        <v>2658.49</v>
      </c>
      <c r="K197" s="18">
        <f>150+100</f>
        <v>250</v>
      </c>
      <c r="L197" s="19">
        <f>SUM(F197:K197)</f>
        <v>1322622.6300000004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64588.04+51756.49+63381.35+13155.58+8226.8+2436+1890+4392.68+520.38+15146.54+6931.79</f>
        <v>232425.65</v>
      </c>
      <c r="G198" s="18">
        <f>18961.5+13531.8+345.25+281.17+10470.03+5243.97+9527.92+7447.22+229+114.5+1000+981.35+951.39+68.78+35.62+1158.81+530.2+227.57+124.53+7.95+2.6</f>
        <v>71241.16</v>
      </c>
      <c r="H198" s="18">
        <f>107330.89+30274.48+12798-9508.57+46056.1+64004.07</f>
        <v>250954.97</v>
      </c>
      <c r="I198" s="18">
        <f>41.57+243.73+500+316.56</f>
        <v>1101.8599999999999</v>
      </c>
      <c r="J198" s="18"/>
      <c r="K198" s="18">
        <f>163.38+87.89</f>
        <v>251.26999999999998</v>
      </c>
      <c r="L198" s="19">
        <f>SUM(F198:K198)</f>
        <v>555974.91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8312.98+10530.62+173.5</f>
        <v>19017.099999999999</v>
      </c>
      <c r="G200" s="18">
        <f>635.95+805.59+60.88+385.66+155.42+155.42+0+13.33+24.67</f>
        <v>2236.92</v>
      </c>
      <c r="H200" s="18">
        <f>3350+2415</f>
        <v>5765</v>
      </c>
      <c r="I200" s="18">
        <f>519.95+2900</f>
        <v>3419.95</v>
      </c>
      <c r="J200" s="18">
        <f>19.8+1164.25</f>
        <v>1184.05</v>
      </c>
      <c r="K200" s="18">
        <v>470</v>
      </c>
      <c r="L200" s="19">
        <f>SUM(F200:K200)</f>
        <v>32093.019999999997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49196.35+18461.18+9805.1+2500+1934.94+36420.75+26646.44</f>
        <v>144964.76</v>
      </c>
      <c r="G202" s="18">
        <f>2144.05+2840.99+240.93+145.64+3928.6+2299.03+1059.73+6966.28+2416.29+133.95+184.63-26.46+11.46+7672.58+115.07+2786.17+2028.46+3696.76+214.69+92.32+15.74+5.96</f>
        <v>38972.870000000003</v>
      </c>
      <c r="H202" s="18">
        <f>170+740+686.27</f>
        <v>1596.27</v>
      </c>
      <c r="I202" s="18">
        <f>207.02+306.7+1057.32+521+872.65+328.59</f>
        <v>3293.28</v>
      </c>
      <c r="J202" s="18">
        <v>94.32</v>
      </c>
      <c r="K202" s="18">
        <f>138.94+47.54</f>
        <v>186.48</v>
      </c>
      <c r="L202" s="19">
        <f t="shared" ref="L202:L208" si="0">SUM(F202:K202)</f>
        <v>189107.98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15113.43+11658.85+15596.92+5589.3+4403.4</f>
        <v>52361.9</v>
      </c>
      <c r="G203" s="18">
        <f>5754.41+4437.53+81.66+63.06+2331.34+877.72+2140.18+1650.21+257.25+198.45+276.9+50.15+6.75-0.69+0+382.49+427.59+336.85+75.14+60.12+22.32</f>
        <v>19429.43</v>
      </c>
      <c r="H203" s="18">
        <f>70+743.91+78+689.49+382.81</f>
        <v>1964.21</v>
      </c>
      <c r="I203" s="18">
        <f>170.58+198.12+2024.98+1743.62+70+1810+165</f>
        <v>6182.3</v>
      </c>
      <c r="J203" s="18"/>
      <c r="K203" s="18"/>
      <c r="L203" s="19">
        <f t="shared" si="0"/>
        <v>79937.840000000011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2691</v>
      </c>
      <c r="G204" s="18">
        <v>197.11</v>
      </c>
      <c r="H204" s="18">
        <v>231932.04</v>
      </c>
      <c r="I204" s="18">
        <v>620</v>
      </c>
      <c r="J204" s="18"/>
      <c r="K204" s="18">
        <v>3076.75</v>
      </c>
      <c r="L204" s="19">
        <f t="shared" si="0"/>
        <v>238516.9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76563.65+36749.96+12000.04+33137.7+15007.2+6000+3959.92+883.5+682+16875.29+13018.04+7095.24+5473.47+1617.03+1247.37</f>
        <v>230310.41</v>
      </c>
      <c r="G205" s="18">
        <f>18267.96+5681.77+621+378.14+8920.95+5173.36+3568.97+1616.34+10841.5+6902.38+680+444.72+244.14+52.73+37.14+4923.22+3797.68+138.3+106.59+1994.88+1538.89+764.18+589.5+2388.72+1842.38+283+283+94.86+77.47-18.76-20.33</f>
        <v>82214.679999999993</v>
      </c>
      <c r="H205" s="18">
        <f>180.99+796.15+450+200+247+449.46+134.63+248.37+164.25+132+131+638.83+474.1</f>
        <v>4246.78</v>
      </c>
      <c r="I205" s="18">
        <f>1287.22+249.96+52.48+7672+5161+450+248.58</f>
        <v>15121.24</v>
      </c>
      <c r="J205" s="18">
        <f>929.76+0</f>
        <v>929.76</v>
      </c>
      <c r="K205" s="18">
        <f>3307.44+2391.74+998.05+756.5</f>
        <v>7453.7300000000005</v>
      </c>
      <c r="L205" s="19">
        <f t="shared" si="0"/>
        <v>340276.6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37830.6+29578.03+8581.14+2981.75+217.01+1277.68+1285.65+1673.1</f>
        <v>83424.959999999992</v>
      </c>
      <c r="G207" s="18">
        <f>13531.8+13315.94+175+156.64+3605.78+2716.09+4208.4+3289.72+268.37+230.64+25.07+11.31</f>
        <v>41534.76</v>
      </c>
      <c r="H207" s="18">
        <f>274.5+4717.75+1839.27+2824.5+2178.9+8842.5+77395.14+14475.98+6587.35+5081.67-127.81+370.11+58</f>
        <v>124517.86</v>
      </c>
      <c r="I207" s="18">
        <f>10885.5+8585.88+12886.32+14295.75+1290.16+376.79+28038.68+24196.89</f>
        <v>100555.97</v>
      </c>
      <c r="J207" s="18">
        <f>633.28+1441.16</f>
        <v>2074.44</v>
      </c>
      <c r="K207" s="18"/>
      <c r="L207" s="19">
        <f t="shared" si="0"/>
        <v>352107.99000000005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79622.559999999998</v>
      </c>
      <c r="I208" s="18"/>
      <c r="J208" s="18"/>
      <c r="K208" s="18"/>
      <c r="L208" s="19">
        <f t="shared" si="0"/>
        <v>79622.559999999998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1655391.23</v>
      </c>
      <c r="G211" s="41">
        <f t="shared" si="1"/>
        <v>635899.74</v>
      </c>
      <c r="H211" s="41">
        <f t="shared" si="1"/>
        <v>712575.97</v>
      </c>
      <c r="I211" s="41">
        <f t="shared" si="1"/>
        <v>167764.20000000001</v>
      </c>
      <c r="J211" s="41">
        <f t="shared" si="1"/>
        <v>6941.0599999999995</v>
      </c>
      <c r="K211" s="41">
        <f t="shared" si="1"/>
        <v>11688.23</v>
      </c>
      <c r="L211" s="41">
        <f t="shared" si="1"/>
        <v>3190260.4300000006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563422.17+4211+364.52+30778.44+6867.5</f>
        <v>605643.63</v>
      </c>
      <c r="G233" s="18">
        <f>93663.71+2908.27+503.49+45604.19+78788.24+3405.92+2819.25+2784.2+369.1+365.27</f>
        <v>231211.64000000004</v>
      </c>
      <c r="H233" s="18">
        <f>27795+3540.32+302.66+42.75+363+365+1500</f>
        <v>33908.729999999996</v>
      </c>
      <c r="I233" s="18">
        <f>2755.46+2996.68+466.02+917.63+564+100+69.4+215.39+99+746+634.78+1518.72+46+4051.18+258.42+485+139.8+414.99+2803.2+5113.09+76.97+2467.89+3792+52.7</f>
        <v>30784.320000000003</v>
      </c>
      <c r="J233" s="18">
        <f>1466.83+900+604.24</f>
        <v>2971.0699999999997</v>
      </c>
      <c r="K233" s="18">
        <f>140+50+30+85</f>
        <v>305</v>
      </c>
      <c r="L233" s="19">
        <f>SUM(F233:K233)</f>
        <v>904824.3899999999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78821.51+54429+1628.75+2610+3129.07+3593.69</f>
        <v>144212.02000000002</v>
      </c>
      <c r="G234" s="18">
        <f>6798.91+381.9+10639.03+11179.05+114.5+763.22-130.48+274.91+77.29+0</f>
        <v>30098.33</v>
      </c>
      <c r="H234" s="18">
        <f>43098.6+0</f>
        <v>43098.6</v>
      </c>
      <c r="I234" s="18">
        <f>148.34+969.3</f>
        <v>1117.6399999999999</v>
      </c>
      <c r="J234" s="18"/>
      <c r="K234" s="18">
        <f>141.23</f>
        <v>141.22999999999999</v>
      </c>
      <c r="L234" s="19">
        <f>SUM(F234:K234)</f>
        <v>218667.82000000007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35440.99</v>
      </c>
      <c r="I235" s="18"/>
      <c r="J235" s="18"/>
      <c r="K235" s="18"/>
      <c r="L235" s="19">
        <f>SUM(F235:K235)</f>
        <v>35440.99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31564.4+239.61</f>
        <v>31804.010000000002</v>
      </c>
      <c r="G236" s="18">
        <f>2413.47+2415.4+466.27+18.39+34.06</f>
        <v>5347.59</v>
      </c>
      <c r="H236" s="18">
        <f>11022+544.8+124.88</f>
        <v>11691.679999999998</v>
      </c>
      <c r="I236" s="18">
        <f>3408.59+250+0</f>
        <v>3658.59</v>
      </c>
      <c r="J236" s="18"/>
      <c r="K236" s="18">
        <v>2870</v>
      </c>
      <c r="L236" s="19">
        <f>SUM(F236:K236)</f>
        <v>55371.87000000001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25494.13+13540.48+2565.06+36411.56</f>
        <v>78011.23</v>
      </c>
      <c r="G238" s="18">
        <f>3924.97+201.36+3167.58+1454.57+3338.03+244.75+22.16+18343.21+158.93+2771.49+5104.85+122.46+9.78</f>
        <v>38864.139999999992</v>
      </c>
      <c r="H238" s="18">
        <f>125.86+740+676.88</f>
        <v>1542.74</v>
      </c>
      <c r="I238" s="18">
        <f>581.68+320+99.24+223.94</f>
        <v>1224.8599999999999</v>
      </c>
      <c r="J238" s="18">
        <v>107.36</v>
      </c>
      <c r="K238" s="18">
        <v>59.77</v>
      </c>
      <c r="L238" s="19">
        <f t="shared" ref="L238:L244" si="4">SUM(F238:K238)</f>
        <v>119810.1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16408.82+6031.05</f>
        <v>22439.87</v>
      </c>
      <c r="G239" s="18">
        <f>6249.22+88.71+1236.08+2324.03+279.3+65.38+0.39+461.41+79.43+0</f>
        <v>10783.949999999999</v>
      </c>
      <c r="H239" s="18">
        <f>554.06+1250</f>
        <v>1804.06</v>
      </c>
      <c r="I239" s="18">
        <f>298.09+2938.5+2437.96+409</f>
        <v>6083.55</v>
      </c>
      <c r="J239" s="18">
        <v>1</v>
      </c>
      <c r="K239" s="18"/>
      <c r="L239" s="19">
        <f t="shared" si="4"/>
        <v>41112.43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1649</v>
      </c>
      <c r="G240" s="18">
        <v>121</v>
      </c>
      <c r="H240" s="18">
        <v>142152</v>
      </c>
      <c r="I240" s="18">
        <v>380</v>
      </c>
      <c r="J240" s="18"/>
      <c r="K240" s="18">
        <v>1886</v>
      </c>
      <c r="L240" s="19">
        <f t="shared" si="4"/>
        <v>146188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50750.04+16500.03+20730.72+5460.08+62+18321.76+7703.39+1755.6</f>
        <v>121283.62000000001</v>
      </c>
      <c r="G241" s="18">
        <f>7850.03+521.86+7072.07+2232.71+9523.9+321.73+72.15+5345.44+150.29+2167.14+829.65+2596.19+284+98.7-25.15</f>
        <v>39040.71</v>
      </c>
      <c r="H241" s="18">
        <f>0+450+670.28+233.88+231.14+331+523.96</f>
        <v>2440.2599999999998</v>
      </c>
      <c r="I241" s="18">
        <f>445.36+6662+353.86</f>
        <v>7461.2199999999993</v>
      </c>
      <c r="J241" s="18"/>
      <c r="K241" s="18">
        <f>3145.07+832</f>
        <v>3977.07</v>
      </c>
      <c r="L241" s="19">
        <f t="shared" si="4"/>
        <v>174202.88000000003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40933.33+4117.55+1738.18+1972.14</f>
        <v>48761.200000000004</v>
      </c>
      <c r="G243" s="18">
        <f>18483.82+217.36+3730.73+4522.15+306.09+21.55</f>
        <v>27281.699999999997</v>
      </c>
      <c r="H243" s="18">
        <f>169+2540.23+3066.6+5420+21791.94+7151.98+371.99</f>
        <v>40511.74</v>
      </c>
      <c r="I243" s="18">
        <f>12741.64+19741.78+519.57+33063.8</f>
        <v>66066.790000000008</v>
      </c>
      <c r="J243" s="18">
        <v>743.74</v>
      </c>
      <c r="K243" s="18"/>
      <c r="L243" s="19">
        <f t="shared" si="4"/>
        <v>183365.16999999998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95140.79</v>
      </c>
      <c r="I244" s="18"/>
      <c r="J244" s="18"/>
      <c r="K244" s="18"/>
      <c r="L244" s="19">
        <f t="shared" si="4"/>
        <v>95140.79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1053804.58</v>
      </c>
      <c r="G247" s="41">
        <f t="shared" si="5"/>
        <v>382749.06000000011</v>
      </c>
      <c r="H247" s="41">
        <f t="shared" si="5"/>
        <v>407731.58999999997</v>
      </c>
      <c r="I247" s="41">
        <f t="shared" si="5"/>
        <v>116776.97000000002</v>
      </c>
      <c r="J247" s="41">
        <f t="shared" si="5"/>
        <v>3823.17</v>
      </c>
      <c r="K247" s="41">
        <f t="shared" si="5"/>
        <v>9239.07</v>
      </c>
      <c r="L247" s="41">
        <f t="shared" si="5"/>
        <v>1974124.4400000002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50000+52000</f>
        <v>102000</v>
      </c>
      <c r="I255" s="18"/>
      <c r="J255" s="18"/>
      <c r="K255" s="18"/>
      <c r="L255" s="19">
        <f t="shared" si="6"/>
        <v>102000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102000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102000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2709195.81</v>
      </c>
      <c r="G257" s="41">
        <f t="shared" si="8"/>
        <v>1018648.8</v>
      </c>
      <c r="H257" s="41">
        <f t="shared" si="8"/>
        <v>1222307.56</v>
      </c>
      <c r="I257" s="41">
        <f t="shared" si="8"/>
        <v>284541.17000000004</v>
      </c>
      <c r="J257" s="41">
        <f t="shared" si="8"/>
        <v>10764.23</v>
      </c>
      <c r="K257" s="41">
        <f t="shared" si="8"/>
        <v>20927.3</v>
      </c>
      <c r="L257" s="41">
        <f t="shared" si="8"/>
        <v>5266384.870000001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48571.43</v>
      </c>
      <c r="L260" s="19">
        <f>SUM(F260:K260)</f>
        <v>48571.43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6737.5</v>
      </c>
      <c r="L261" s="19">
        <f>SUM(F261:K261)</f>
        <v>6737.5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14247.86</v>
      </c>
      <c r="L263" s="19">
        <f>SUM(F263:K263)</f>
        <v>14247.86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119556.79000000001</v>
      </c>
      <c r="L270" s="41">
        <f t="shared" si="9"/>
        <v>119556.79000000001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2709195.81</v>
      </c>
      <c r="G271" s="42">
        <f t="shared" si="11"/>
        <v>1018648.8</v>
      </c>
      <c r="H271" s="42">
        <f t="shared" si="11"/>
        <v>1222307.56</v>
      </c>
      <c r="I271" s="42">
        <f t="shared" si="11"/>
        <v>284541.17000000004</v>
      </c>
      <c r="J271" s="42">
        <f t="shared" si="11"/>
        <v>10764.23</v>
      </c>
      <c r="K271" s="42">
        <f t="shared" si="11"/>
        <v>140484.09</v>
      </c>
      <c r="L271" s="42">
        <f t="shared" si="11"/>
        <v>5385941.6600000011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178813.94</v>
      </c>
      <c r="G276" s="18">
        <f>33557.23+728.46+13525.05+23253.27+751.46</f>
        <v>71815.470000000016</v>
      </c>
      <c r="H276" s="18">
        <f>125+757.69+8551.31+287.7</f>
        <v>9721.7000000000007</v>
      </c>
      <c r="I276" s="18">
        <f>1349.29</f>
        <v>1349.29</v>
      </c>
      <c r="J276" s="18">
        <f>4325.84+7761.6</f>
        <v>12087.44</v>
      </c>
      <c r="K276" s="18"/>
      <c r="L276" s="19">
        <f>SUM(F276:K276)</f>
        <v>273787.84000000003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178813.94</v>
      </c>
      <c r="G290" s="42">
        <f t="shared" si="13"/>
        <v>71815.470000000016</v>
      </c>
      <c r="H290" s="42">
        <f t="shared" si="13"/>
        <v>9721.7000000000007</v>
      </c>
      <c r="I290" s="42">
        <f t="shared" si="13"/>
        <v>1349.29</v>
      </c>
      <c r="J290" s="42">
        <f t="shared" si="13"/>
        <v>12087.44</v>
      </c>
      <c r="K290" s="42">
        <f t="shared" si="13"/>
        <v>0</v>
      </c>
      <c r="L290" s="41">
        <f t="shared" si="13"/>
        <v>273787.84000000003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30884.53</v>
      </c>
      <c r="G314" s="18">
        <f>2362.51+2021.67</f>
        <v>4384.18</v>
      </c>
      <c r="H314" s="18">
        <f>300+1902.9</f>
        <v>2202.9</v>
      </c>
      <c r="I314" s="18">
        <f>499.71</f>
        <v>499.71</v>
      </c>
      <c r="J314" s="18">
        <f>784.88+10718.4</f>
        <v>11503.279999999999</v>
      </c>
      <c r="K314" s="18"/>
      <c r="L314" s="19">
        <f>SUM(F314:K314)</f>
        <v>49474.6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30884.53</v>
      </c>
      <c r="G328" s="42">
        <f t="shared" si="17"/>
        <v>4384.18</v>
      </c>
      <c r="H328" s="42">
        <f t="shared" si="17"/>
        <v>2202.9</v>
      </c>
      <c r="I328" s="42">
        <f t="shared" si="17"/>
        <v>499.71</v>
      </c>
      <c r="J328" s="42">
        <f t="shared" si="17"/>
        <v>11503.279999999999</v>
      </c>
      <c r="K328" s="42">
        <f t="shared" si="17"/>
        <v>0</v>
      </c>
      <c r="L328" s="41">
        <f t="shared" si="17"/>
        <v>49474.6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209698.47</v>
      </c>
      <c r="G338" s="41">
        <f t="shared" si="20"/>
        <v>76199.650000000023</v>
      </c>
      <c r="H338" s="41">
        <f t="shared" si="20"/>
        <v>11924.6</v>
      </c>
      <c r="I338" s="41">
        <f t="shared" si="20"/>
        <v>1849</v>
      </c>
      <c r="J338" s="41">
        <f t="shared" si="20"/>
        <v>23590.720000000001</v>
      </c>
      <c r="K338" s="41">
        <f t="shared" si="20"/>
        <v>0</v>
      </c>
      <c r="L338" s="41">
        <f t="shared" si="20"/>
        <v>323262.44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209698.47</v>
      </c>
      <c r="G352" s="41">
        <f>G338</f>
        <v>76199.650000000023</v>
      </c>
      <c r="H352" s="41">
        <f>H338</f>
        <v>11924.6</v>
      </c>
      <c r="I352" s="41">
        <f>I338</f>
        <v>1849</v>
      </c>
      <c r="J352" s="41">
        <f>J338</f>
        <v>23590.720000000001</v>
      </c>
      <c r="K352" s="47">
        <f>K338+K351</f>
        <v>0</v>
      </c>
      <c r="L352" s="41">
        <f>L338+L351</f>
        <v>323262.44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118130.18</v>
      </c>
      <c r="I358" s="18">
        <v>22.45</v>
      </c>
      <c r="J358" s="18">
        <v>80.5</v>
      </c>
      <c r="K358" s="18"/>
      <c r="L358" s="13">
        <f>SUM(F358:K358)</f>
        <v>118233.12999999999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72403</v>
      </c>
      <c r="I360" s="18">
        <v>14</v>
      </c>
      <c r="J360" s="18">
        <v>49</v>
      </c>
      <c r="K360" s="18"/>
      <c r="L360" s="19">
        <f>SUM(F360:K360)</f>
        <v>72466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190533.18</v>
      </c>
      <c r="I362" s="47">
        <f t="shared" si="22"/>
        <v>36.450000000000003</v>
      </c>
      <c r="J362" s="47">
        <f t="shared" si="22"/>
        <v>129.5</v>
      </c>
      <c r="K362" s="47">
        <f t="shared" si="22"/>
        <v>0</v>
      </c>
      <c r="L362" s="47">
        <f t="shared" si="22"/>
        <v>190699.13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/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22.45</v>
      </c>
      <c r="G368" s="63"/>
      <c r="H368" s="63">
        <v>14</v>
      </c>
      <c r="I368" s="56">
        <f>SUM(F368:H368)</f>
        <v>36.450000000000003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22.45</v>
      </c>
      <c r="G369" s="47">
        <f>SUM(G367:G368)</f>
        <v>0</v>
      </c>
      <c r="H369" s="47">
        <f>SUM(H367:H368)</f>
        <v>14</v>
      </c>
      <c r="I369" s="47">
        <f>SUM(I367:I368)</f>
        <v>36.450000000000003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57.81</v>
      </c>
      <c r="I396" s="18"/>
      <c r="J396" s="24" t="s">
        <v>289</v>
      </c>
      <c r="K396" s="24" t="s">
        <v>289</v>
      </c>
      <c r="L396" s="56">
        <f t="shared" si="26"/>
        <v>57.81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25.74</v>
      </c>
      <c r="I397" s="18"/>
      <c r="J397" s="24" t="s">
        <v>289</v>
      </c>
      <c r="K397" s="24" t="s">
        <v>289</v>
      </c>
      <c r="L397" s="56">
        <f t="shared" si="26"/>
        <v>50025.74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83.55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50083.549999999996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83.55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50083.549999999996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316337</v>
      </c>
      <c r="H439" s="18"/>
      <c r="I439" s="56">
        <f t="shared" ref="I439:I445" si="33">SUM(F439:H439)</f>
        <v>316337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316337</v>
      </c>
      <c r="H446" s="13">
        <f>SUM(H439:H445)</f>
        <v>0</v>
      </c>
      <c r="I446" s="13">
        <f>SUM(I439:I445)</f>
        <v>316337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316337</v>
      </c>
      <c r="H456" s="18"/>
      <c r="I456" s="56">
        <f t="shared" si="34"/>
        <v>316337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316337</v>
      </c>
      <c r="H460" s="83">
        <f>SUM(H454:H459)</f>
        <v>0</v>
      </c>
      <c r="I460" s="83">
        <f>SUM(I454:I459)</f>
        <v>316337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316337</v>
      </c>
      <c r="H461" s="42">
        <f>H452+H460</f>
        <v>0</v>
      </c>
      <c r="I461" s="42">
        <f>I452+I460</f>
        <v>316337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221470.82</v>
      </c>
      <c r="G465" s="18"/>
      <c r="H465" s="18"/>
      <c r="I465" s="18"/>
      <c r="J465" s="18">
        <v>266253.45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5489666.6299999999</v>
      </c>
      <c r="G468" s="18">
        <v>190699.13</v>
      </c>
      <c r="H468" s="18">
        <v>323262.44</v>
      </c>
      <c r="I468" s="18"/>
      <c r="J468" s="18">
        <v>50083.55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5489666.6299999999</v>
      </c>
      <c r="G470" s="53">
        <f>SUM(G468:G469)</f>
        <v>190699.13</v>
      </c>
      <c r="H470" s="53">
        <f>SUM(H468:H469)</f>
        <v>323262.44</v>
      </c>
      <c r="I470" s="53">
        <f>SUM(I468:I469)</f>
        <v>0</v>
      </c>
      <c r="J470" s="53">
        <f>SUM(J468:J469)</f>
        <v>50083.55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5385941.6600000001</v>
      </c>
      <c r="G472" s="18">
        <v>190699.13</v>
      </c>
      <c r="H472" s="18">
        <v>323262.44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5385941.6600000001</v>
      </c>
      <c r="G474" s="53">
        <f>SUM(G472:G473)</f>
        <v>190699.13</v>
      </c>
      <c r="H474" s="53">
        <f>SUM(H472:H473)</f>
        <v>323262.44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325195.79000000004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316337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14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911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400000</v>
      </c>
      <c r="G493" s="18">
        <v>225501.31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</v>
      </c>
      <c r="G494" s="18">
        <v>5.39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57142.84</v>
      </c>
      <c r="G495" s="18">
        <v>135000</v>
      </c>
      <c r="H495" s="18"/>
      <c r="I495" s="18"/>
      <c r="J495" s="18"/>
      <c r="K495" s="53">
        <f>SUM(F495:J495)</f>
        <v>192142.84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28571.43</v>
      </c>
      <c r="G497" s="18">
        <v>26737.5</v>
      </c>
      <c r="H497" s="18"/>
      <c r="I497" s="18"/>
      <c r="J497" s="18"/>
      <c r="K497" s="53">
        <f t="shared" si="35"/>
        <v>55308.93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28571.41</v>
      </c>
      <c r="G498" s="204">
        <v>115000</v>
      </c>
      <c r="H498" s="204"/>
      <c r="I498" s="204"/>
      <c r="J498" s="204"/>
      <c r="K498" s="205">
        <f t="shared" si="35"/>
        <v>143571.41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20347.25</v>
      </c>
      <c r="H499" s="18"/>
      <c r="I499" s="18"/>
      <c r="J499" s="18"/>
      <c r="K499" s="53">
        <f t="shared" si="35"/>
        <v>20347.25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28571.41</v>
      </c>
      <c r="G500" s="42">
        <f>SUM(G498:G499)</f>
        <v>135347.25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163918.66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28571.41</v>
      </c>
      <c r="G501" s="204">
        <v>20000</v>
      </c>
      <c r="H501" s="204"/>
      <c r="I501" s="204"/>
      <c r="J501" s="204"/>
      <c r="K501" s="205">
        <f t="shared" si="35"/>
        <v>48571.41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5659.5</v>
      </c>
      <c r="H502" s="18"/>
      <c r="I502" s="18"/>
      <c r="J502" s="18"/>
      <c r="K502" s="53">
        <f t="shared" si="35"/>
        <v>5659.5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28571.41</v>
      </c>
      <c r="G503" s="42">
        <f>SUM(G501:G502)</f>
        <v>25659.5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54230.91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64588.04+51756.49+63381.35+13155.58+8226.8+2436+1890+4392.68+520.38</f>
        <v>210347.31999999998</v>
      </c>
      <c r="G521" s="18">
        <f>18961.5+13531.8+345.25+281.17+10470.03+5243.97+9527.92+7447.22+229+114.5+1000+981.35+951.39+68.78+35.62</f>
        <v>69189.5</v>
      </c>
      <c r="H521" s="18">
        <f>12798-9508.57+46056.1+64004.07</f>
        <v>113349.6</v>
      </c>
      <c r="I521" s="18">
        <f>41.57+243.73+500+316.56</f>
        <v>1101.8599999999999</v>
      </c>
      <c r="J521" s="18"/>
      <c r="K521" s="18">
        <f>163.38+87.89</f>
        <v>251.26999999999998</v>
      </c>
      <c r="L521" s="88">
        <f>SUM(F521:K521)</f>
        <v>394239.54999999993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78821.51+54429+1628.75+2610+3129.07</f>
        <v>140618.33000000002</v>
      </c>
      <c r="G523" s="18">
        <f>6798.91+381.9+10639.03+11179.05+114.5+763.22-130.48</f>
        <v>29746.13</v>
      </c>
      <c r="H523" s="18">
        <f>0</f>
        <v>0</v>
      </c>
      <c r="I523" s="18">
        <f>148.34+969.3</f>
        <v>1117.6399999999999</v>
      </c>
      <c r="J523" s="18"/>
      <c r="K523" s="18">
        <v>141.22999999999999</v>
      </c>
      <c r="L523" s="88">
        <f>SUM(F523:K523)</f>
        <v>171623.33000000005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350965.65</v>
      </c>
      <c r="G524" s="108">
        <f t="shared" ref="G524:L524" si="36">SUM(G521:G523)</f>
        <v>98935.63</v>
      </c>
      <c r="H524" s="108">
        <f t="shared" si="36"/>
        <v>113349.6</v>
      </c>
      <c r="I524" s="108">
        <f t="shared" si="36"/>
        <v>2219.5</v>
      </c>
      <c r="J524" s="108">
        <f t="shared" si="36"/>
        <v>0</v>
      </c>
      <c r="K524" s="108">
        <f t="shared" si="36"/>
        <v>392.5</v>
      </c>
      <c r="L524" s="89">
        <f t="shared" si="36"/>
        <v>565862.88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107330.89+30274.48</f>
        <v>137605.37</v>
      </c>
      <c r="I526" s="18"/>
      <c r="J526" s="18"/>
      <c r="K526" s="18"/>
      <c r="L526" s="88">
        <f>SUM(F526:K526)</f>
        <v>137605.37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43098.6</v>
      </c>
      <c r="I528" s="18"/>
      <c r="J528" s="18"/>
      <c r="K528" s="18"/>
      <c r="L528" s="88">
        <f>SUM(F528:K528)</f>
        <v>43098.6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180703.97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180703.97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16875.29+13018.04+7095.24+5473.47+1617.03+1247.37</f>
        <v>45326.44</v>
      </c>
      <c r="G531" s="18">
        <f>4923.22+3797.68+138.3+106.59+1994.88+1538.89+764.18+589.5+2388.72+1842.38+283+283+94.86+77.47-18.76-20.33</f>
        <v>18783.579999999998</v>
      </c>
      <c r="H531" s="18">
        <f>248.37+164.25+132+131+638.83+474.1</f>
        <v>1788.5500000000002</v>
      </c>
      <c r="I531" s="18">
        <f>450+248.58</f>
        <v>698.58</v>
      </c>
      <c r="J531" s="18">
        <v>929.76</v>
      </c>
      <c r="K531" s="18">
        <f>998.05+756.5</f>
        <v>1754.55</v>
      </c>
      <c r="L531" s="88">
        <f>SUM(F531:K531)</f>
        <v>69281.460000000006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18321.76+7703.39+1755.6</f>
        <v>27780.749999999996</v>
      </c>
      <c r="G533" s="18">
        <f>5345.44+150.29+2167.14+829.65+2596.19+284+98.7-25.15</f>
        <v>11446.26</v>
      </c>
      <c r="H533" s="18">
        <f>231.14+331+523.96</f>
        <v>1086.0999999999999</v>
      </c>
      <c r="I533" s="18">
        <v>353.86</v>
      </c>
      <c r="J533" s="18"/>
      <c r="K533" s="18">
        <v>832</v>
      </c>
      <c r="L533" s="88">
        <f>SUM(F533:K533)</f>
        <v>41498.969999999994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73107.19</v>
      </c>
      <c r="G534" s="89">
        <f t="shared" ref="G534:L534" si="38">SUM(G531:G533)</f>
        <v>30229.839999999997</v>
      </c>
      <c r="H534" s="89">
        <f t="shared" si="38"/>
        <v>2874.65</v>
      </c>
      <c r="I534" s="89">
        <f t="shared" si="38"/>
        <v>1052.44</v>
      </c>
      <c r="J534" s="89">
        <f t="shared" si="38"/>
        <v>929.76</v>
      </c>
      <c r="K534" s="89">
        <f t="shared" si="38"/>
        <v>2586.5500000000002</v>
      </c>
      <c r="L534" s="89">
        <f t="shared" si="38"/>
        <v>110780.43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3781.23+8318.63</f>
        <v>12099.859999999999</v>
      </c>
      <c r="I541" s="18"/>
      <c r="J541" s="18"/>
      <c r="K541" s="18"/>
      <c r="L541" s="88">
        <f>SUM(F541:K541)</f>
        <v>12099.859999999999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2321.8200000000002</v>
      </c>
      <c r="I543" s="18"/>
      <c r="J543" s="18"/>
      <c r="K543" s="18"/>
      <c r="L543" s="88">
        <f>SUM(F543:K543)</f>
        <v>2321.8200000000002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14421.679999999998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14421.679999999998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424072.84</v>
      </c>
      <c r="G545" s="89">
        <f t="shared" ref="G545:L545" si="41">G524+G529+G534+G539+G544</f>
        <v>129165.47</v>
      </c>
      <c r="H545" s="89">
        <f t="shared" si="41"/>
        <v>311349.90000000002</v>
      </c>
      <c r="I545" s="89">
        <f t="shared" si="41"/>
        <v>3271.94</v>
      </c>
      <c r="J545" s="89">
        <f t="shared" si="41"/>
        <v>929.76</v>
      </c>
      <c r="K545" s="89">
        <f t="shared" si="41"/>
        <v>2979.05</v>
      </c>
      <c r="L545" s="89">
        <f t="shared" si="41"/>
        <v>871768.96000000008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394239.54999999993</v>
      </c>
      <c r="G549" s="87">
        <f>L526</f>
        <v>137605.37</v>
      </c>
      <c r="H549" s="87">
        <f>L531</f>
        <v>69281.460000000006</v>
      </c>
      <c r="I549" s="87">
        <f>L536</f>
        <v>0</v>
      </c>
      <c r="J549" s="87">
        <f>L541</f>
        <v>12099.859999999999</v>
      </c>
      <c r="K549" s="87">
        <f>SUM(F549:J549)</f>
        <v>613226.23999999987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171623.33000000005</v>
      </c>
      <c r="G551" s="87">
        <f>L528</f>
        <v>43098.6</v>
      </c>
      <c r="H551" s="87">
        <f>L533</f>
        <v>41498.969999999994</v>
      </c>
      <c r="I551" s="87">
        <f>L538</f>
        <v>0</v>
      </c>
      <c r="J551" s="87">
        <f>L543</f>
        <v>2321.8200000000002</v>
      </c>
      <c r="K551" s="87">
        <f>SUM(F551:J551)</f>
        <v>258542.72000000006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565862.88</v>
      </c>
      <c r="G552" s="89">
        <f t="shared" si="42"/>
        <v>180703.97</v>
      </c>
      <c r="H552" s="89">
        <f t="shared" si="42"/>
        <v>110780.43</v>
      </c>
      <c r="I552" s="89">
        <f t="shared" si="42"/>
        <v>0</v>
      </c>
      <c r="J552" s="89">
        <f t="shared" si="42"/>
        <v>14421.679999999998</v>
      </c>
      <c r="K552" s="89">
        <f t="shared" si="42"/>
        <v>871768.96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12798-9508.57</f>
        <v>3289.4300000000003</v>
      </c>
      <c r="G579" s="18"/>
      <c r="H579" s="18"/>
      <c r="I579" s="87">
        <f t="shared" si="47"/>
        <v>3289.4300000000003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46056.1+64004.07</f>
        <v>110060.17</v>
      </c>
      <c r="G582" s="18"/>
      <c r="H582" s="18"/>
      <c r="I582" s="87">
        <f t="shared" si="47"/>
        <v>110060.17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35440.99</v>
      </c>
      <c r="I584" s="87">
        <f t="shared" si="47"/>
        <v>35440.99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60039.47</v>
      </c>
      <c r="I591" s="18"/>
      <c r="J591" s="18">
        <v>34620.97</v>
      </c>
      <c r="K591" s="104">
        <f t="shared" ref="K591:K597" si="48">SUM(H591:J591)</f>
        <v>94660.44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3781.23+8318.63</f>
        <v>12099.859999999999</v>
      </c>
      <c r="I592" s="18"/>
      <c r="J592" s="18">
        <v>2321.8200000000002</v>
      </c>
      <c r="K592" s="104">
        <f t="shared" si="48"/>
        <v>14421.679999999998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47330.559999999998</v>
      </c>
      <c r="K593" s="104">
        <f t="shared" si="48"/>
        <v>47330.559999999998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3074.38+4408.85</f>
        <v>7483.2300000000005</v>
      </c>
      <c r="I594" s="18"/>
      <c r="J594" s="18">
        <v>10871.32</v>
      </c>
      <c r="K594" s="104">
        <f t="shared" si="48"/>
        <v>18354.55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>
        <v>-3.88</v>
      </c>
      <c r="K595" s="104">
        <f t="shared" si="48"/>
        <v>-3.88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79622.559999999998</v>
      </c>
      <c r="I598" s="108">
        <f>SUM(I591:I597)</f>
        <v>0</v>
      </c>
      <c r="J598" s="108">
        <f>SUM(J591:J597)</f>
        <v>95140.790000000008</v>
      </c>
      <c r="K598" s="108">
        <f>SUM(K591:K597)</f>
        <v>174763.34999999998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289.99+19.8+1164.25+94.32+929.76+633.28+1441.16+50000+461.05+259.99+536.42+454.41+499+157.63+80.5+4325.84+7761.6-50000-80.5</f>
        <v>19028.5</v>
      </c>
      <c r="I604" s="18"/>
      <c r="J604" s="18">
        <f>107.36+1+743.74+1466.83+900+604.24+49+784.88+10718.4-49</f>
        <v>15326.45</v>
      </c>
      <c r="K604" s="104">
        <f>SUM(H604:J604)</f>
        <v>34354.949999999997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19028.5</v>
      </c>
      <c r="I605" s="108">
        <f>SUM(I602:I604)</f>
        <v>0</v>
      </c>
      <c r="J605" s="108">
        <f>SUM(J602:J604)</f>
        <v>15326.45</v>
      </c>
      <c r="K605" s="108">
        <f>SUM(K602:K604)</f>
        <v>34354.949999999997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441431.50000000006</v>
      </c>
      <c r="H617" s="109">
        <f>SUM(F52)</f>
        <v>441431.5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7703.94</v>
      </c>
      <c r="H618" s="109">
        <f>SUM(G52)</f>
        <v>7703.94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46501.59</v>
      </c>
      <c r="H619" s="109">
        <f>SUM(H52)</f>
        <v>46501.59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316337</v>
      </c>
      <c r="H621" s="109">
        <f>SUM(J52)</f>
        <v>316337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325195.78999999998</v>
      </c>
      <c r="H622" s="109">
        <f>F476</f>
        <v>325195.79000000004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316337</v>
      </c>
      <c r="H626" s="109">
        <f>J476</f>
        <v>316337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5489666.6299999999</v>
      </c>
      <c r="H627" s="104">
        <f>SUM(F468)</f>
        <v>5489666.6299999999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190699.13</v>
      </c>
      <c r="H628" s="104">
        <f>SUM(G468)</f>
        <v>190699.13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323262.44</v>
      </c>
      <c r="H629" s="104">
        <f>SUM(H468)</f>
        <v>323262.44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50083.55</v>
      </c>
      <c r="H631" s="104">
        <f>SUM(J468)</f>
        <v>50083.55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5385941.6600000011</v>
      </c>
      <c r="H632" s="104">
        <f>SUM(F472)</f>
        <v>5385941.6600000001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323262.44</v>
      </c>
      <c r="H633" s="104">
        <f>SUM(H472)</f>
        <v>323262.44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36.450000000000003</v>
      </c>
      <c r="H634" s="104">
        <f>I369</f>
        <v>36.450000000000003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190699.13</v>
      </c>
      <c r="H635" s="104">
        <f>SUM(G472)</f>
        <v>190699.13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50083.549999999996</v>
      </c>
      <c r="H637" s="164">
        <f>SUM(J468)</f>
        <v>50083.55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316337</v>
      </c>
      <c r="H640" s="104">
        <f>SUM(G461)</f>
        <v>316337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316337</v>
      </c>
      <c r="H642" s="104">
        <f>SUM(I461)</f>
        <v>316337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83.55</v>
      </c>
      <c r="H644" s="104">
        <f>H408</f>
        <v>83.55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50083.55</v>
      </c>
      <c r="H646" s="104">
        <f>L408</f>
        <v>50083.549999999996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174763.34999999998</v>
      </c>
      <c r="H647" s="104">
        <f>L208+L226+L244</f>
        <v>174763.34999999998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34354.949999999997</v>
      </c>
      <c r="H648" s="104">
        <f>(J257+J338)-(J255+J336)</f>
        <v>34354.949999999997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79622.559999999998</v>
      </c>
      <c r="H649" s="104">
        <f>H598</f>
        <v>79622.559999999998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95140.79</v>
      </c>
      <c r="H651" s="104">
        <f>J598</f>
        <v>95140.790000000008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14247.86</v>
      </c>
      <c r="H652" s="104">
        <f>K263+K345</f>
        <v>14247.86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3582281.4000000004</v>
      </c>
      <c r="G660" s="19">
        <f>(L229+L309+L359)</f>
        <v>0</v>
      </c>
      <c r="H660" s="19">
        <f>(L247+L328+L360)</f>
        <v>2096065.0400000003</v>
      </c>
      <c r="I660" s="19">
        <f>SUM(F660:H660)</f>
        <v>5678346.4400000004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36088.313490919434</v>
      </c>
      <c r="G661" s="19">
        <f>(L359/IF(SUM(L358:L360)=0,1,SUM(L358:L360))*(SUM(G97:G110)))</f>
        <v>0</v>
      </c>
      <c r="H661" s="19">
        <f>(L360/IF(SUM(L358:L360)=0,1,SUM(L358:L360))*(SUM(G97:G110)))</f>
        <v>22118.806509080561</v>
      </c>
      <c r="I661" s="19">
        <f>SUM(F661:H661)</f>
        <v>58207.119999999995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79622.559999999998</v>
      </c>
      <c r="G662" s="19">
        <f>(L226+L306)-(J226+J306)</f>
        <v>0</v>
      </c>
      <c r="H662" s="19">
        <f>(L244+L325)-(J244+J325)</f>
        <v>95140.79</v>
      </c>
      <c r="I662" s="19">
        <f>SUM(F662:H662)</f>
        <v>174763.34999999998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132378.1</v>
      </c>
      <c r="G663" s="199">
        <f>SUM(G575:G587)+SUM(I602:I604)+L612</f>
        <v>0</v>
      </c>
      <c r="H663" s="199">
        <f>SUM(H575:H587)+SUM(J602:J604)+L613</f>
        <v>50767.44</v>
      </c>
      <c r="I663" s="19">
        <f>SUM(F663:H663)</f>
        <v>183145.54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3334192.4265090809</v>
      </c>
      <c r="G664" s="19">
        <f>G660-SUM(G661:G663)</f>
        <v>0</v>
      </c>
      <c r="H664" s="19">
        <f>H660-SUM(H661:H663)</f>
        <v>1928038.0034909197</v>
      </c>
      <c r="I664" s="19">
        <f>I660-SUM(I661:I663)</f>
        <v>5262230.4300000006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123.11+85.35</f>
        <v>208.45999999999998</v>
      </c>
      <c r="G665" s="248"/>
      <c r="H665" s="248">
        <v>155.29</v>
      </c>
      <c r="I665" s="19">
        <f>SUM(F665:H665)</f>
        <v>363.75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15994.4</v>
      </c>
      <c r="G667" s="19" t="e">
        <f>ROUND(G664/G665,2)</f>
        <v>#DIV/0!</v>
      </c>
      <c r="H667" s="19">
        <f>ROUND(H664/H665,2)</f>
        <v>12415.73</v>
      </c>
      <c r="I667" s="19">
        <f>ROUND(I664/I665,2)</f>
        <v>14466.61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</v>
      </c>
      <c r="I670" s="19">
        <f>SUM(F670:H670)</f>
        <v>-4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15994.4</v>
      </c>
      <c r="G672" s="19" t="e">
        <f>ROUND((G664+G669)/(G665+G670),2)</f>
        <v>#DIV/0!</v>
      </c>
      <c r="H672" s="19">
        <f>ROUND((H664+H669)/(H665+H670),2)</f>
        <v>12743.99</v>
      </c>
      <c r="I672" s="19">
        <f>ROUND((I664+I669)/(I665+I670),2)</f>
        <v>14627.46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NORTHUMBERLAND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1705537.55</v>
      </c>
      <c r="C9" s="229">
        <f>'DOE25'!G197+'DOE25'!G215+'DOE25'!G233+'DOE25'!G276+'DOE25'!G295+'DOE25'!G314</f>
        <v>687484.10000000009</v>
      </c>
    </row>
    <row r="10" spans="1:3" x14ac:dyDescent="0.2">
      <c r="A10" t="s">
        <v>779</v>
      </c>
      <c r="B10" s="240">
        <f>466132.83+352314.2+563422.17+270+9287.5+3139+4211+19740.06+7695.42+30778.44+178813.94+30884.53-0.4</f>
        <v>1666688.6900000002</v>
      </c>
      <c r="C10" s="240">
        <f>687484.1-2971.94</f>
        <v>684512.16</v>
      </c>
    </row>
    <row r="11" spans="1:3" x14ac:dyDescent="0.2">
      <c r="A11" t="s">
        <v>780</v>
      </c>
      <c r="B11" s="240">
        <f>15041.4+364.52+10275.38+6300.06+6867.5</f>
        <v>38848.86</v>
      </c>
      <c r="C11" s="240">
        <v>2971.94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1705537.5500000003</v>
      </c>
      <c r="C13" s="231">
        <f>SUM(C10:C12)</f>
        <v>687484.1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376637.67000000004</v>
      </c>
      <c r="C18" s="229">
        <f>'DOE25'!G198+'DOE25'!G216+'DOE25'!G234+'DOE25'!G277+'DOE25'!G296+'DOE25'!G315</f>
        <v>101339.49</v>
      </c>
    </row>
    <row r="19" spans="1:3" x14ac:dyDescent="0.2">
      <c r="A19" t="s">
        <v>779</v>
      </c>
      <c r="B19" s="240">
        <f>376637.67-176971.63</f>
        <v>199666.03999999998</v>
      </c>
      <c r="C19" s="240">
        <f>101339.49-13538.33</f>
        <v>87801.16</v>
      </c>
    </row>
    <row r="20" spans="1:3" x14ac:dyDescent="0.2">
      <c r="A20" t="s">
        <v>780</v>
      </c>
      <c r="B20" s="240">
        <f>63381.35+13155.58+54429+8226.8+2436+1628.75+4392.68+520.38+3129.07+15146.54+6931.79+3593.69</f>
        <v>176971.63</v>
      </c>
      <c r="C20" s="240">
        <f>13538.33</f>
        <v>13538.33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376637.67</v>
      </c>
      <c r="C22" s="231">
        <f>SUM(C19:C21)</f>
        <v>101339.49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50821.11</v>
      </c>
      <c r="C36" s="235">
        <f>'DOE25'!G200+'DOE25'!G218+'DOE25'!G236+'DOE25'!G279+'DOE25'!G298+'DOE25'!G317</f>
        <v>7584.51</v>
      </c>
    </row>
    <row r="37" spans="1:3" x14ac:dyDescent="0.2">
      <c r="A37" t="s">
        <v>779</v>
      </c>
      <c r="B37" s="240">
        <v>27230</v>
      </c>
      <c r="C37" s="240">
        <f>7584.51-1804.72</f>
        <v>5779.79</v>
      </c>
    </row>
    <row r="38" spans="1:3" x14ac:dyDescent="0.2">
      <c r="A38" t="s">
        <v>780</v>
      </c>
      <c r="B38" s="240">
        <f>50821.11-27230</f>
        <v>23591.11</v>
      </c>
      <c r="C38" s="240">
        <v>1804.72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50821.11</v>
      </c>
      <c r="C40" s="231">
        <f>SUM(C37:C39)</f>
        <v>7584.51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NORTHUMBERLAND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3124995.6300000008</v>
      </c>
      <c r="D5" s="20">
        <f>SUM('DOE25'!L197:L200)+SUM('DOE25'!L215:L218)+SUM('DOE25'!L233:L236)-F5-G5</f>
        <v>3113894.5200000009</v>
      </c>
      <c r="E5" s="243"/>
      <c r="F5" s="255">
        <f>SUM('DOE25'!J197:J200)+SUM('DOE25'!J215:J218)+SUM('DOE25'!J233:J236)</f>
        <v>6813.61</v>
      </c>
      <c r="G5" s="53">
        <f>SUM('DOE25'!K197:K200)+SUM('DOE25'!K215:K218)+SUM('DOE25'!K233:K236)</f>
        <v>4287.5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308918.08</v>
      </c>
      <c r="D6" s="20">
        <f>'DOE25'!L202+'DOE25'!L220+'DOE25'!L238-F6-G6</f>
        <v>308470.15000000002</v>
      </c>
      <c r="E6" s="243"/>
      <c r="F6" s="255">
        <f>'DOE25'!J202+'DOE25'!J220+'DOE25'!J238</f>
        <v>201.68</v>
      </c>
      <c r="G6" s="53">
        <f>'DOE25'!K202+'DOE25'!K220+'DOE25'!K238</f>
        <v>246.25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121050.27000000002</v>
      </c>
      <c r="D7" s="20">
        <f>'DOE25'!L203+'DOE25'!L221+'DOE25'!L239-F7-G7</f>
        <v>121049.27000000002</v>
      </c>
      <c r="E7" s="243"/>
      <c r="F7" s="255">
        <f>'DOE25'!J203+'DOE25'!J221+'DOE25'!J239</f>
        <v>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174033.84</v>
      </c>
      <c r="D8" s="243"/>
      <c r="E8" s="20">
        <f>'DOE25'!L204+'DOE25'!L222+'DOE25'!L240-F8-G8-D9-D11</f>
        <v>169071.09</v>
      </c>
      <c r="F8" s="255">
        <f>'DOE25'!J204+'DOE25'!J222+'DOE25'!J240</f>
        <v>0</v>
      </c>
      <c r="G8" s="53">
        <f>'DOE25'!K204+'DOE25'!K222+'DOE25'!K240</f>
        <v>4962.75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36555.14</v>
      </c>
      <c r="D9" s="244">
        <v>36555.14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12117.5</v>
      </c>
      <c r="D10" s="243"/>
      <c r="E10" s="244">
        <v>12117.5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174115.92</v>
      </c>
      <c r="D11" s="244">
        <v>174115.92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514479.48</v>
      </c>
      <c r="D12" s="20">
        <f>'DOE25'!L205+'DOE25'!L223+'DOE25'!L241-F12-G12</f>
        <v>502118.92</v>
      </c>
      <c r="E12" s="243"/>
      <c r="F12" s="255">
        <f>'DOE25'!J205+'DOE25'!J223+'DOE25'!J241</f>
        <v>929.76</v>
      </c>
      <c r="G12" s="53">
        <f>'DOE25'!K205+'DOE25'!K223+'DOE25'!K241</f>
        <v>11430.800000000001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535473.16</v>
      </c>
      <c r="D14" s="20">
        <f>'DOE25'!L207+'DOE25'!L225+'DOE25'!L243-F14-G14</f>
        <v>532654.98</v>
      </c>
      <c r="E14" s="243"/>
      <c r="F14" s="255">
        <f>'DOE25'!J207+'DOE25'!J225+'DOE25'!J243</f>
        <v>2818.1800000000003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174763.34999999998</v>
      </c>
      <c r="D15" s="20">
        <f>'DOE25'!L208+'DOE25'!L226+'DOE25'!L244-F15-G15</f>
        <v>174763.34999999998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102000</v>
      </c>
      <c r="D22" s="243"/>
      <c r="E22" s="243"/>
      <c r="F22" s="255">
        <f>'DOE25'!L255+'DOE25'!L336</f>
        <v>102000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55308.93</v>
      </c>
      <c r="D25" s="243"/>
      <c r="E25" s="243"/>
      <c r="F25" s="258"/>
      <c r="G25" s="256"/>
      <c r="H25" s="257">
        <f>'DOE25'!L260+'DOE25'!L261+'DOE25'!L341+'DOE25'!L342</f>
        <v>55308.93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190699.13</v>
      </c>
      <c r="D29" s="20">
        <f>'DOE25'!L358+'DOE25'!L359+'DOE25'!L360-'DOE25'!I367-F29-G29</f>
        <v>190569.63</v>
      </c>
      <c r="E29" s="243"/>
      <c r="F29" s="255">
        <f>'DOE25'!J358+'DOE25'!J359+'DOE25'!J360</f>
        <v>129.5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323262.43999999994</v>
      </c>
      <c r="D31" s="20">
        <f>'DOE25'!L290+'DOE25'!L309+'DOE25'!L328+'DOE25'!L333+'DOE25'!L334+'DOE25'!L335-F31-G31</f>
        <v>299671.71999999997</v>
      </c>
      <c r="E31" s="243"/>
      <c r="F31" s="255">
        <f>'DOE25'!J290+'DOE25'!J309+'DOE25'!J328+'DOE25'!J333+'DOE25'!J334+'DOE25'!J335</f>
        <v>23590.720000000001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5453863.5999999996</v>
      </c>
      <c r="E33" s="246">
        <f>SUM(E5:E31)</f>
        <v>181188.59</v>
      </c>
      <c r="F33" s="246">
        <f>SUM(F5:F31)</f>
        <v>136484.45000000001</v>
      </c>
      <c r="G33" s="246">
        <f>SUM(G5:G31)</f>
        <v>20927.300000000003</v>
      </c>
      <c r="H33" s="246">
        <f>SUM(H5:H31)</f>
        <v>55308.93</v>
      </c>
    </row>
    <row r="35" spans="2:8" ht="12" thickBot="1" x14ac:dyDescent="0.25">
      <c r="B35" s="253" t="s">
        <v>847</v>
      </c>
      <c r="D35" s="254">
        <f>E33</f>
        <v>181188.59</v>
      </c>
      <c r="E35" s="249"/>
    </row>
    <row r="36" spans="2:8" ht="12" thickTop="1" x14ac:dyDescent="0.2">
      <c r="B36" t="s">
        <v>815</v>
      </c>
      <c r="D36" s="20">
        <f>D33</f>
        <v>5453863.5999999996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38" sqref="C3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NORTHUMBERLAND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380564.05000000005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316337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54205.53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6661.92</v>
      </c>
      <c r="D13" s="95">
        <f>'DOE25'!G14</f>
        <v>7703.94</v>
      </c>
      <c r="E13" s="95">
        <f>'DOE25'!H14</f>
        <v>46501.59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441431.50000000006</v>
      </c>
      <c r="D18" s="41">
        <f>SUM(D8:D17)</f>
        <v>7703.94</v>
      </c>
      <c r="E18" s="41">
        <f>SUM(E8:E17)</f>
        <v>46501.59</v>
      </c>
      <c r="F18" s="41">
        <f>SUM(F8:F17)</f>
        <v>0</v>
      </c>
      <c r="G18" s="41">
        <f>SUM(G8:G17)</f>
        <v>316337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7703.94</v>
      </c>
      <c r="E21" s="95">
        <f>'DOE25'!H22</f>
        <v>46501.59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109905.28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6330.43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116235.70999999999</v>
      </c>
      <c r="D31" s="41">
        <f>SUM(D21:D30)</f>
        <v>7703.94</v>
      </c>
      <c r="E31" s="41">
        <f>SUM(E21:E30)</f>
        <v>46501.59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316337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42783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282412.78999999998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325195.78999999998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316337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441431.5</v>
      </c>
      <c r="D51" s="41">
        <f>D50+D31</f>
        <v>7703.94</v>
      </c>
      <c r="E51" s="41">
        <f>E50+E31</f>
        <v>46501.59</v>
      </c>
      <c r="F51" s="41">
        <f>F50+F31</f>
        <v>0</v>
      </c>
      <c r="G51" s="41">
        <f>G50+G31</f>
        <v>316337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1479042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873843.9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1898.32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83.55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58207.12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17293.03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893035.25</v>
      </c>
      <c r="D62" s="130">
        <f>SUM(D57:D61)</f>
        <v>58207.12</v>
      </c>
      <c r="E62" s="130">
        <f>SUM(E57:E61)</f>
        <v>0</v>
      </c>
      <c r="F62" s="130">
        <f>SUM(F57:F61)</f>
        <v>0</v>
      </c>
      <c r="G62" s="130">
        <f>SUM(G57:G61)</f>
        <v>83.55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2372077.25</v>
      </c>
      <c r="D63" s="22">
        <f>D56+D62</f>
        <v>58207.12</v>
      </c>
      <c r="E63" s="22">
        <f>E56+E62</f>
        <v>0</v>
      </c>
      <c r="F63" s="22">
        <f>F56+F62</f>
        <v>0</v>
      </c>
      <c r="G63" s="22">
        <f>G56+G62</f>
        <v>83.55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2639838.6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232277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2872115.6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20571.419999999998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12323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2397.38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32894.42</v>
      </c>
      <c r="D78" s="130">
        <f>SUM(D72:D77)</f>
        <v>2397.38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2905010.02</v>
      </c>
      <c r="D81" s="130">
        <f>SUM(D79:D80)+D78+D70</f>
        <v>2397.38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155789.04</v>
      </c>
      <c r="D88" s="95">
        <f>SUM('DOE25'!G153:G161)</f>
        <v>115846.77</v>
      </c>
      <c r="E88" s="95">
        <f>SUM('DOE25'!H153:H161)</f>
        <v>323262.44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592.96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156382</v>
      </c>
      <c r="D91" s="131">
        <f>SUM(D85:D90)</f>
        <v>115846.77</v>
      </c>
      <c r="E91" s="131">
        <f>SUM(E85:E90)</f>
        <v>323262.44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6197.36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14247.86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50000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56197.36</v>
      </c>
      <c r="D103" s="86">
        <f>SUM(D93:D102)</f>
        <v>14247.86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5489666.6299999999</v>
      </c>
      <c r="D104" s="86">
        <f>D63+D81+D91+D103</f>
        <v>190699.13</v>
      </c>
      <c r="E104" s="86">
        <f>E63+E81+E91+E103</f>
        <v>323262.44</v>
      </c>
      <c r="F104" s="86">
        <f>F63+F81+F91+F103</f>
        <v>0</v>
      </c>
      <c r="G104" s="86">
        <f>G63+G81+G103</f>
        <v>50083.55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2227447.0200000005</v>
      </c>
      <c r="D109" s="24" t="s">
        <v>289</v>
      </c>
      <c r="E109" s="95">
        <f>('DOE25'!L276)+('DOE25'!L295)+('DOE25'!L314)</f>
        <v>323262.44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774642.7300000001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35440.99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87464.890000000014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3124995.6300000008</v>
      </c>
      <c r="D115" s="86">
        <f>SUM(D109:D114)</f>
        <v>0</v>
      </c>
      <c r="E115" s="86">
        <f>SUM(E109:E114)</f>
        <v>323262.44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308918.08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121050.27000000002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384704.9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514479.48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535473.16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174763.34999999998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190699.13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2039389.2400000002</v>
      </c>
      <c r="D128" s="86">
        <f>SUM(D118:D127)</f>
        <v>190699.13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102000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48571.43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6737.5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14247.86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50083.549999999996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-83.549999999995634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221556.78999999998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5385941.6600000011</v>
      </c>
      <c r="D145" s="86">
        <f>(D115+D128+D144)</f>
        <v>190699.13</v>
      </c>
      <c r="E145" s="86">
        <f>(E115+E128+E144)</f>
        <v>323262.44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14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06/01</v>
      </c>
      <c r="C152" s="152" t="str">
        <f>'DOE25'!G491</f>
        <v>09/10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06/15</v>
      </c>
      <c r="C153" s="152" t="str">
        <f>'DOE25'!G492</f>
        <v>09/20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400000</v>
      </c>
      <c r="C154" s="137">
        <f>'DOE25'!G493</f>
        <v>225501.31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5.39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57142.84</v>
      </c>
      <c r="C156" s="137">
        <f>'DOE25'!G495</f>
        <v>135000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192142.84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28571.43</v>
      </c>
      <c r="C158" s="137">
        <f>'DOE25'!G497</f>
        <v>26737.5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55308.93</v>
      </c>
    </row>
    <row r="159" spans="1:9" x14ac:dyDescent="0.2">
      <c r="A159" s="22" t="s">
        <v>35</v>
      </c>
      <c r="B159" s="137">
        <f>'DOE25'!F498</f>
        <v>28571.41</v>
      </c>
      <c r="C159" s="137">
        <f>'DOE25'!G498</f>
        <v>115000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143571.41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20347.25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20347.25</v>
      </c>
    </row>
    <row r="161" spans="1:7" x14ac:dyDescent="0.2">
      <c r="A161" s="22" t="s">
        <v>37</v>
      </c>
      <c r="B161" s="137">
        <f>'DOE25'!F500</f>
        <v>28571.41</v>
      </c>
      <c r="C161" s="137">
        <f>'DOE25'!G500</f>
        <v>135347.25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163918.66</v>
      </c>
    </row>
    <row r="162" spans="1:7" x14ac:dyDescent="0.2">
      <c r="A162" s="22" t="s">
        <v>38</v>
      </c>
      <c r="B162" s="137">
        <f>'DOE25'!F501</f>
        <v>28571.41</v>
      </c>
      <c r="C162" s="137">
        <f>'DOE25'!G501</f>
        <v>20000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48571.41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5659.5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5659.5</v>
      </c>
    </row>
    <row r="164" spans="1:7" x14ac:dyDescent="0.2">
      <c r="A164" s="22" t="s">
        <v>246</v>
      </c>
      <c r="B164" s="137">
        <f>'DOE25'!F503</f>
        <v>28571.41</v>
      </c>
      <c r="C164" s="137">
        <f>'DOE25'!G503</f>
        <v>25659.5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54230.91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NORTHUMBERLAND SD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15994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12744</v>
      </c>
    </row>
    <row r="7" spans="1:4" x14ac:dyDescent="0.2">
      <c r="B7" t="s">
        <v>705</v>
      </c>
      <c r="C7" s="179">
        <f>IF('DOE25'!I665+'DOE25'!I670=0,0,ROUND('DOE25'!I672,0))</f>
        <v>14627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2550709</v>
      </c>
      <c r="D10" s="182">
        <f>ROUND((C10/$C$28)*100,1)</f>
        <v>45.3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774643</v>
      </c>
      <c r="D11" s="182">
        <f>ROUND((C11/$C$28)*100,1)</f>
        <v>13.8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35441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87465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308918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121050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384705</v>
      </c>
      <c r="D17" s="182">
        <f t="shared" si="0"/>
        <v>6.8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514479</v>
      </c>
      <c r="D18" s="182">
        <f t="shared" si="0"/>
        <v>9.1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535473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174763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6738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132491.88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5626875.8799999999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102000</v>
      </c>
    </row>
    <row r="30" spans="1:4" x14ac:dyDescent="0.2">
      <c r="B30" s="187" t="s">
        <v>729</v>
      </c>
      <c r="C30" s="180">
        <f>SUM(C28:C29)</f>
        <v>5728875.8799999999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48571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1479042</v>
      </c>
      <c r="D35" s="182">
        <f t="shared" ref="D35:D40" si="1">ROUND((C35/$C$41)*100,1)</f>
        <v>25.1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899316.15999999968</v>
      </c>
      <c r="D36" s="182">
        <f t="shared" si="1"/>
        <v>15.3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2872116</v>
      </c>
      <c r="D37" s="182">
        <f t="shared" si="1"/>
        <v>48.8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35292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595491</v>
      </c>
      <c r="D39" s="182">
        <f t="shared" si="1"/>
        <v>10.1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5881257.1600000001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NORTHUMBERLAND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2014-08-05T12:38:51Z</cp:lastPrinted>
  <dcterms:created xsi:type="dcterms:W3CDTF">1997-12-04T19:04:30Z</dcterms:created>
  <dcterms:modified xsi:type="dcterms:W3CDTF">2014-12-05T17:21:11Z</dcterms:modified>
</cp:coreProperties>
</file>