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Notes'!$A$1:$M$70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C9" i="13"/>
  <c r="C19" i="12"/>
  <c r="C21" i="12"/>
  <c r="B21" i="12"/>
  <c r="B19" i="12"/>
  <c r="B22" i="12" s="1"/>
  <c r="B12" i="12"/>
  <c r="H604" i="1"/>
  <c r="J207" i="1"/>
  <c r="F459" i="1"/>
  <c r="I459" i="1"/>
  <c r="J48" i="1"/>
  <c r="G47" i="2" s="1"/>
  <c r="F439" i="1"/>
  <c r="J468" i="1"/>
  <c r="F368" i="1"/>
  <c r="F369" i="1" s="1"/>
  <c r="I358" i="1"/>
  <c r="H358" i="1"/>
  <c r="G358" i="1"/>
  <c r="L358" i="1" s="1"/>
  <c r="F358" i="1"/>
  <c r="F24" i="1"/>
  <c r="C23" i="2" s="1"/>
  <c r="C31" i="2" s="1"/>
  <c r="C51" i="2" s="1"/>
  <c r="F472" i="1"/>
  <c r="F110" i="1"/>
  <c r="C45" i="2"/>
  <c r="G51" i="1"/>
  <c r="G623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C125" i="2" s="1"/>
  <c r="L227" i="1"/>
  <c r="L245" i="1"/>
  <c r="F5" i="13"/>
  <c r="G5" i="13"/>
  <c r="L197" i="1"/>
  <c r="C109" i="2" s="1"/>
  <c r="C115" i="2" s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20" i="10" s="1"/>
  <c r="L243" i="1"/>
  <c r="F15" i="13"/>
  <c r="G15" i="13"/>
  <c r="L208" i="1"/>
  <c r="G649" i="1" s="1"/>
  <c r="L226" i="1"/>
  <c r="L244" i="1"/>
  <c r="G651" i="1"/>
  <c r="F17" i="13"/>
  <c r="G17" i="13"/>
  <c r="L251" i="1"/>
  <c r="F18" i="13"/>
  <c r="G18" i="13"/>
  <c r="L252" i="1"/>
  <c r="F19" i="13"/>
  <c r="G19" i="13"/>
  <c r="D19" i="13"/>
  <c r="L253" i="1"/>
  <c r="F29" i="13"/>
  <c r="G29" i="13"/>
  <c r="L359" i="1"/>
  <c r="L360" i="1"/>
  <c r="I367" i="1"/>
  <c r="J290" i="1"/>
  <c r="J309" i="1"/>
  <c r="J338" i="1" s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G662" i="1"/>
  <c r="L307" i="1"/>
  <c r="L314" i="1"/>
  <c r="L315" i="1"/>
  <c r="L316" i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C24" i="10" s="1"/>
  <c r="L260" i="1"/>
  <c r="L261" i="1"/>
  <c r="L341" i="1"/>
  <c r="L342" i="1"/>
  <c r="E132" i="2" s="1"/>
  <c r="L255" i="1"/>
  <c r="L336" i="1"/>
  <c r="C11" i="13"/>
  <c r="C10" i="13"/>
  <c r="L361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/>
  <c r="L612" i="1"/>
  <c r="G663" i="1" s="1"/>
  <c r="L611" i="1"/>
  <c r="C40" i="10"/>
  <c r="F60" i="1"/>
  <c r="C35" i="10" s="1"/>
  <c r="G60" i="1"/>
  <c r="H60" i="1"/>
  <c r="I60" i="1"/>
  <c r="F56" i="2"/>
  <c r="F63" i="2" s="1"/>
  <c r="F79" i="1"/>
  <c r="F94" i="1"/>
  <c r="F111" i="1"/>
  <c r="G111" i="1"/>
  <c r="H79" i="1"/>
  <c r="H94" i="1"/>
  <c r="E58" i="2" s="1"/>
  <c r="H111" i="1"/>
  <c r="I111" i="1"/>
  <c r="J111" i="1"/>
  <c r="J112" i="1"/>
  <c r="F121" i="1"/>
  <c r="F136" i="1"/>
  <c r="G121" i="1"/>
  <c r="G136" i="1"/>
  <c r="H121" i="1"/>
  <c r="H136" i="1"/>
  <c r="I121" i="1"/>
  <c r="I136" i="1"/>
  <c r="I140" i="1" s="1"/>
  <c r="J121" i="1"/>
  <c r="J136" i="1"/>
  <c r="F147" i="1"/>
  <c r="F162" i="1"/>
  <c r="G147" i="1"/>
  <c r="G162" i="1"/>
  <c r="H147" i="1"/>
  <c r="H169" i="1" s="1"/>
  <c r="H162" i="1"/>
  <c r="I147" i="1"/>
  <c r="I162" i="1"/>
  <c r="I169" i="1" s="1"/>
  <c r="C16" i="10"/>
  <c r="C18" i="10"/>
  <c r="L250" i="1"/>
  <c r="C113" i="2"/>
  <c r="L332" i="1"/>
  <c r="E113" i="2" s="1"/>
  <c r="L254" i="1"/>
  <c r="L268" i="1"/>
  <c r="C142" i="2"/>
  <c r="L269" i="1"/>
  <c r="L349" i="1"/>
  <c r="E142" i="2" s="1"/>
  <c r="L350" i="1"/>
  <c r="I665" i="1"/>
  <c r="I670" i="1"/>
  <c r="F662" i="1"/>
  <c r="I669" i="1"/>
  <c r="C42" i="10"/>
  <c r="C32" i="10"/>
  <c r="L374" i="1"/>
  <c r="L375" i="1"/>
  <c r="L376" i="1"/>
  <c r="L377" i="1"/>
  <c r="C29" i="10" s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L522" i="1"/>
  <c r="F550" i="1"/>
  <c r="L523" i="1"/>
  <c r="F551" i="1" s="1"/>
  <c r="L526" i="1"/>
  <c r="G549" i="1"/>
  <c r="L527" i="1"/>
  <c r="G550" i="1" s="1"/>
  <c r="K550" i="1" s="1"/>
  <c r="L528" i="1"/>
  <c r="L531" i="1"/>
  <c r="H549" i="1"/>
  <c r="L532" i="1"/>
  <c r="H550" i="1" s="1"/>
  <c r="H552" i="1" s="1"/>
  <c r="L533" i="1"/>
  <c r="H551" i="1"/>
  <c r="L536" i="1"/>
  <c r="I549" i="1" s="1"/>
  <c r="L537" i="1"/>
  <c r="I550" i="1"/>
  <c r="L538" i="1"/>
  <c r="I551" i="1" s="1"/>
  <c r="L541" i="1"/>
  <c r="J549" i="1"/>
  <c r="J552" i="1" s="1"/>
  <c r="L542" i="1"/>
  <c r="J550" i="1" s="1"/>
  <c r="L543" i="1"/>
  <c r="J551" i="1"/>
  <c r="E131" i="2"/>
  <c r="K270" i="1"/>
  <c r="J270" i="1"/>
  <c r="I270" i="1"/>
  <c r="L270" i="1" s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I446" i="1" s="1"/>
  <c r="C10" i="2"/>
  <c r="C11" i="2"/>
  <c r="D11" i="2"/>
  <c r="E11" i="2"/>
  <c r="E18" i="2" s="1"/>
  <c r="F11" i="2"/>
  <c r="I441" i="1"/>
  <c r="J12" i="1"/>
  <c r="G11" i="2" s="1"/>
  <c r="C12" i="2"/>
  <c r="D12" i="2"/>
  <c r="E12" i="2"/>
  <c r="F12" i="2"/>
  <c r="I442" i="1"/>
  <c r="J13" i="1"/>
  <c r="G12" i="2"/>
  <c r="C13" i="2"/>
  <c r="D13" i="2"/>
  <c r="E13" i="2"/>
  <c r="F13" i="2"/>
  <c r="F18" i="2" s="1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 s="1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C50" i="2" s="1"/>
  <c r="D35" i="2"/>
  <c r="E35" i="2"/>
  <c r="F35" i="2"/>
  <c r="I454" i="1"/>
  <c r="J49" i="1" s="1"/>
  <c r="G48" i="2" s="1"/>
  <c r="I456" i="1"/>
  <c r="I457" i="1"/>
  <c r="C49" i="2"/>
  <c r="E56" i="2"/>
  <c r="C57" i="2"/>
  <c r="C59" i="2"/>
  <c r="D59" i="2"/>
  <c r="E59" i="2"/>
  <c r="F59" i="2"/>
  <c r="D60" i="2"/>
  <c r="C61" i="2"/>
  <c r="D61" i="2"/>
  <c r="E61" i="2"/>
  <c r="F61" i="2"/>
  <c r="F62" i="2" s="1"/>
  <c r="C66" i="2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C74" i="2"/>
  <c r="C75" i="2"/>
  <c r="C76" i="2"/>
  <c r="E76" i="2"/>
  <c r="F76" i="2"/>
  <c r="C77" i="2"/>
  <c r="C78" i="2" s="1"/>
  <c r="D77" i="2"/>
  <c r="D78" i="2" s="1"/>
  <c r="D81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F91" i="2" s="1"/>
  <c r="C88" i="2"/>
  <c r="D88" i="2"/>
  <c r="D91" i="2" s="1"/>
  <c r="E88" i="2"/>
  <c r="F88" i="2"/>
  <c r="C89" i="2"/>
  <c r="C91" i="2" s="1"/>
  <c r="D89" i="2"/>
  <c r="E89" i="2"/>
  <c r="F89" i="2"/>
  <c r="C90" i="2"/>
  <c r="C93" i="2"/>
  <c r="F93" i="2"/>
  <c r="C94" i="2"/>
  <c r="F94" i="2"/>
  <c r="D96" i="2"/>
  <c r="D103" i="2" s="1"/>
  <c r="E96" i="2"/>
  <c r="E103" i="2" s="1"/>
  <c r="F96" i="2"/>
  <c r="G96" i="2"/>
  <c r="C97" i="2"/>
  <c r="D97" i="2"/>
  <c r="E97" i="2"/>
  <c r="F97" i="2"/>
  <c r="G97" i="2"/>
  <c r="G103" i="2" s="1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1" i="2"/>
  <c r="C112" i="2"/>
  <c r="E114" i="2"/>
  <c r="D115" i="2"/>
  <c r="F115" i="2"/>
  <c r="G115" i="2"/>
  <c r="E118" i="2"/>
  <c r="E119" i="2"/>
  <c r="E122" i="2"/>
  <c r="E123" i="2"/>
  <c r="F128" i="2"/>
  <c r="G128" i="2"/>
  <c r="C130" i="2"/>
  <c r="E130" i="2"/>
  <c r="D134" i="2"/>
  <c r="D144" i="2" s="1"/>
  <c r="F134" i="2"/>
  <c r="K419" i="1"/>
  <c r="K427" i="1"/>
  <c r="K434" i="1" s="1"/>
  <c r="K433" i="1"/>
  <c r="L263" i="1"/>
  <c r="C135" i="2"/>
  <c r="E135" i="2"/>
  <c r="L264" i="1"/>
  <c r="C136" i="2" s="1"/>
  <c r="L265" i="1"/>
  <c r="C137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G159" i="2" s="1"/>
  <c r="F159" i="2"/>
  <c r="B160" i="2"/>
  <c r="C160" i="2"/>
  <c r="G160" i="2"/>
  <c r="D160" i="2"/>
  <c r="E160" i="2"/>
  <c r="F160" i="2"/>
  <c r="F500" i="1"/>
  <c r="G500" i="1"/>
  <c r="C161" i="2" s="1"/>
  <c r="H500" i="1"/>
  <c r="D161" i="2"/>
  <c r="I500" i="1"/>
  <c r="E161" i="2" s="1"/>
  <c r="J500" i="1"/>
  <c r="F161" i="2"/>
  <c r="B162" i="2"/>
  <c r="C162" i="2"/>
  <c r="D162" i="2"/>
  <c r="E162" i="2"/>
  <c r="G162" i="2" s="1"/>
  <c r="F162" i="2"/>
  <c r="B163" i="2"/>
  <c r="C163" i="2"/>
  <c r="D163" i="2"/>
  <c r="G163" i="2" s="1"/>
  <c r="E163" i="2"/>
  <c r="F163" i="2"/>
  <c r="F503" i="1"/>
  <c r="B164" i="2"/>
  <c r="G503" i="1"/>
  <c r="C164" i="2" s="1"/>
  <c r="H503" i="1"/>
  <c r="D164" i="2" s="1"/>
  <c r="I503" i="1"/>
  <c r="E164" i="2"/>
  <c r="J503" i="1"/>
  <c r="F164" i="2" s="1"/>
  <c r="F19" i="1"/>
  <c r="G617" i="1"/>
  <c r="G19" i="1"/>
  <c r="H19" i="1"/>
  <c r="I19" i="1"/>
  <c r="F32" i="1"/>
  <c r="F52" i="1" s="1"/>
  <c r="H617" i="1" s="1"/>
  <c r="J617" i="1" s="1"/>
  <c r="G32" i="1"/>
  <c r="G52" i="1" s="1"/>
  <c r="H618" i="1" s="1"/>
  <c r="H32" i="1"/>
  <c r="I32" i="1"/>
  <c r="H51" i="1"/>
  <c r="H52" i="1" s="1"/>
  <c r="H619" i="1" s="1"/>
  <c r="J619" i="1" s="1"/>
  <c r="I51" i="1"/>
  <c r="I52" i="1"/>
  <c r="H620" i="1" s="1"/>
  <c r="F177" i="1"/>
  <c r="I177" i="1"/>
  <c r="I192" i="1" s="1"/>
  <c r="F183" i="1"/>
  <c r="G183" i="1"/>
  <c r="H183" i="1"/>
  <c r="I183" i="1"/>
  <c r="J183" i="1"/>
  <c r="F188" i="1"/>
  <c r="G188" i="1"/>
  <c r="H188" i="1"/>
  <c r="H192" i="1" s="1"/>
  <c r="I188" i="1"/>
  <c r="F211" i="1"/>
  <c r="G211" i="1"/>
  <c r="G257" i="1" s="1"/>
  <c r="G271" i="1" s="1"/>
  <c r="H211" i="1"/>
  <c r="H257" i="1" s="1"/>
  <c r="H271" i="1" s="1"/>
  <c r="I211" i="1"/>
  <c r="J211" i="1"/>
  <c r="K211" i="1"/>
  <c r="K257" i="1" s="1"/>
  <c r="K271" i="1" s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52" i="1"/>
  <c r="K337" i="1"/>
  <c r="F362" i="1"/>
  <c r="G362" i="1"/>
  <c r="H362" i="1"/>
  <c r="J362" i="1"/>
  <c r="K362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I434" i="1" s="1"/>
  <c r="J419" i="1"/>
  <c r="L421" i="1"/>
  <c r="L422" i="1"/>
  <c r="L423" i="1"/>
  <c r="L424" i="1"/>
  <c r="L425" i="1"/>
  <c r="L426" i="1"/>
  <c r="F427" i="1"/>
  <c r="G427" i="1"/>
  <c r="H427" i="1"/>
  <c r="I427" i="1"/>
  <c r="J427" i="1"/>
  <c r="J434" i="1"/>
  <c r="L429" i="1"/>
  <c r="L430" i="1"/>
  <c r="L431" i="1"/>
  <c r="L432" i="1"/>
  <c r="F433" i="1"/>
  <c r="G433" i="1"/>
  <c r="H433" i="1"/>
  <c r="I433" i="1"/>
  <c r="J433" i="1"/>
  <c r="F446" i="1"/>
  <c r="G639" i="1"/>
  <c r="J639" i="1" s="1"/>
  <c r="G446" i="1"/>
  <c r="G640" i="1" s="1"/>
  <c r="H446" i="1"/>
  <c r="G641" i="1"/>
  <c r="F452" i="1"/>
  <c r="F461" i="1" s="1"/>
  <c r="H639" i="1" s="1"/>
  <c r="G452" i="1"/>
  <c r="H452" i="1"/>
  <c r="H641" i="1"/>
  <c r="F460" i="1"/>
  <c r="G460" i="1"/>
  <c r="H460" i="1"/>
  <c r="H461" i="1" s="1"/>
  <c r="F470" i="1"/>
  <c r="G470" i="1"/>
  <c r="H470" i="1"/>
  <c r="I470" i="1"/>
  <c r="J470" i="1"/>
  <c r="J476" i="1"/>
  <c r="H626" i="1" s="1"/>
  <c r="G474" i="1"/>
  <c r="H474" i="1"/>
  <c r="I474" i="1"/>
  <c r="I476" i="1" s="1"/>
  <c r="H625" i="1" s="1"/>
  <c r="J625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L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/>
  <c r="J650" i="1" s="1"/>
  <c r="J598" i="1"/>
  <c r="H651" i="1" s="1"/>
  <c r="J651" i="1" s="1"/>
  <c r="K602" i="1"/>
  <c r="K603" i="1"/>
  <c r="I605" i="1"/>
  <c r="J605" i="1"/>
  <c r="F614" i="1"/>
  <c r="G614" i="1"/>
  <c r="H614" i="1"/>
  <c r="I614" i="1"/>
  <c r="J614" i="1"/>
  <c r="K614" i="1"/>
  <c r="G618" i="1"/>
  <c r="G619" i="1"/>
  <c r="G620" i="1"/>
  <c r="J620" i="1" s="1"/>
  <c r="G622" i="1"/>
  <c r="G624" i="1"/>
  <c r="G625" i="1"/>
  <c r="H627" i="1"/>
  <c r="H628" i="1"/>
  <c r="H629" i="1"/>
  <c r="H630" i="1"/>
  <c r="H631" i="1"/>
  <c r="H633" i="1"/>
  <c r="H635" i="1"/>
  <c r="H636" i="1"/>
  <c r="H637" i="1"/>
  <c r="H638" i="1"/>
  <c r="G643" i="1"/>
  <c r="H643" i="1"/>
  <c r="G644" i="1"/>
  <c r="H644" i="1"/>
  <c r="J644" i="1"/>
  <c r="H645" i="1"/>
  <c r="G650" i="1"/>
  <c r="G652" i="1"/>
  <c r="J652" i="1" s="1"/>
  <c r="H652" i="1"/>
  <c r="G653" i="1"/>
  <c r="H653" i="1"/>
  <c r="G654" i="1"/>
  <c r="J654" i="1" s="1"/>
  <c r="H654" i="1"/>
  <c r="H655" i="1"/>
  <c r="L256" i="1"/>
  <c r="L351" i="1"/>
  <c r="L290" i="1"/>
  <c r="D17" i="13"/>
  <c r="C17" i="13" s="1"/>
  <c r="G157" i="2"/>
  <c r="C19" i="13"/>
  <c r="G476" i="1"/>
  <c r="H623" i="1" s="1"/>
  <c r="J140" i="1"/>
  <c r="G22" i="2"/>
  <c r="K545" i="1"/>
  <c r="H140" i="1"/>
  <c r="L401" i="1"/>
  <c r="C139" i="2"/>
  <c r="F22" i="13"/>
  <c r="C22" i="13" s="1"/>
  <c r="H25" i="13"/>
  <c r="H33" i="13" s="1"/>
  <c r="H571" i="1"/>
  <c r="L560" i="1"/>
  <c r="L571" i="1" s="1"/>
  <c r="F338" i="1"/>
  <c r="F352" i="1"/>
  <c r="G192" i="1"/>
  <c r="L309" i="1"/>
  <c r="D31" i="13" s="1"/>
  <c r="C31" i="13" s="1"/>
  <c r="J655" i="1"/>
  <c r="L570" i="1"/>
  <c r="I571" i="1"/>
  <c r="L565" i="1"/>
  <c r="G545" i="1"/>
  <c r="C23" i="10"/>
  <c r="C103" i="2"/>
  <c r="E144" i="2"/>
  <c r="G31" i="13"/>
  <c r="I338" i="1"/>
  <c r="I352" i="1" s="1"/>
  <c r="L407" i="1"/>
  <c r="C140" i="2" s="1"/>
  <c r="E91" i="2"/>
  <c r="J653" i="1"/>
  <c r="G21" i="2"/>
  <c r="F434" i="1"/>
  <c r="G134" i="2"/>
  <c r="G144" i="2"/>
  <c r="G145" i="2"/>
  <c r="C6" i="10"/>
  <c r="F31" i="13"/>
  <c r="G169" i="1"/>
  <c r="G140" i="1"/>
  <c r="F140" i="1"/>
  <c r="C5" i="10"/>
  <c r="F545" i="1"/>
  <c r="H434" i="1"/>
  <c r="G571" i="1"/>
  <c r="G434" i="1"/>
  <c r="C25" i="13"/>
  <c r="F661" i="1"/>
  <c r="D29" i="13"/>
  <c r="C29" i="13"/>
  <c r="L362" i="1"/>
  <c r="C27" i="10" s="1"/>
  <c r="G661" i="1"/>
  <c r="I661" i="1" s="1"/>
  <c r="J257" i="1"/>
  <c r="K500" i="1"/>
  <c r="B161" i="2"/>
  <c r="G161" i="2"/>
  <c r="D56" i="2"/>
  <c r="G112" i="1"/>
  <c r="G193" i="1"/>
  <c r="G628" i="1"/>
  <c r="J628" i="1" s="1"/>
  <c r="E8" i="13"/>
  <c r="C8" i="13" s="1"/>
  <c r="J649" i="1"/>
  <c r="G338" i="1"/>
  <c r="G352" i="1"/>
  <c r="J192" i="1"/>
  <c r="J193" i="1"/>
  <c r="G631" i="1" s="1"/>
  <c r="J631" i="1" s="1"/>
  <c r="G645" i="1"/>
  <c r="J645" i="1"/>
  <c r="C58" i="2"/>
  <c r="C62" i="2"/>
  <c r="J43" i="1"/>
  <c r="G42" i="2"/>
  <c r="I452" i="1"/>
  <c r="J31" i="1"/>
  <c r="J32" i="1" s="1"/>
  <c r="D31" i="2"/>
  <c r="I112" i="1"/>
  <c r="I193" i="1"/>
  <c r="G630" i="1" s="1"/>
  <c r="J630" i="1" s="1"/>
  <c r="E57" i="2"/>
  <c r="E62" i="2"/>
  <c r="E63" i="2" s="1"/>
  <c r="H112" i="1"/>
  <c r="H193" i="1"/>
  <c r="G629" i="1" s="1"/>
  <c r="J629" i="1" s="1"/>
  <c r="C132" i="2"/>
  <c r="C25" i="10"/>
  <c r="L328" i="1"/>
  <c r="H661" i="1"/>
  <c r="D18" i="13"/>
  <c r="C18" i="13" s="1"/>
  <c r="C114" i="2"/>
  <c r="C124" i="2"/>
  <c r="H647" i="1"/>
  <c r="C21" i="10"/>
  <c r="D15" i="13"/>
  <c r="C15" i="13"/>
  <c r="D14" i="13"/>
  <c r="C14" i="13" s="1"/>
  <c r="C123" i="2"/>
  <c r="C15" i="10"/>
  <c r="C118" i="2"/>
  <c r="C128" i="2" s="1"/>
  <c r="C111" i="2"/>
  <c r="C12" i="10"/>
  <c r="C19" i="10"/>
  <c r="C122" i="2"/>
  <c r="J641" i="1"/>
  <c r="D50" i="2"/>
  <c r="D51" i="2" s="1"/>
  <c r="I552" i="1"/>
  <c r="F130" i="2"/>
  <c r="F144" i="2" s="1"/>
  <c r="F145" i="2" s="1"/>
  <c r="L382" i="1"/>
  <c r="G636" i="1"/>
  <c r="J636" i="1" s="1"/>
  <c r="K503" i="1"/>
  <c r="I362" i="1"/>
  <c r="G634" i="1"/>
  <c r="F192" i="1"/>
  <c r="D62" i="2"/>
  <c r="D63" i="2" s="1"/>
  <c r="E31" i="2"/>
  <c r="J10" i="1"/>
  <c r="J19" i="1" s="1"/>
  <c r="G621" i="1" s="1"/>
  <c r="G642" i="1"/>
  <c r="C18" i="2"/>
  <c r="K338" i="1"/>
  <c r="K352" i="1"/>
  <c r="D12" i="13"/>
  <c r="C121" i="2"/>
  <c r="D7" i="13"/>
  <c r="C7" i="13"/>
  <c r="C119" i="2"/>
  <c r="C10" i="10"/>
  <c r="C120" i="2"/>
  <c r="C17" i="10"/>
  <c r="G646" i="1"/>
  <c r="G635" i="1"/>
  <c r="J635" i="1" s="1"/>
  <c r="H648" i="1"/>
  <c r="J271" i="1"/>
  <c r="D5" i="13" l="1"/>
  <c r="C5" i="13" s="1"/>
  <c r="G33" i="13"/>
  <c r="H605" i="1"/>
  <c r="K604" i="1"/>
  <c r="K605" i="1" s="1"/>
  <c r="G648" i="1" s="1"/>
  <c r="J648" i="1" s="1"/>
  <c r="F663" i="1"/>
  <c r="I663" i="1" s="1"/>
  <c r="G551" i="1"/>
  <c r="K551" i="1" s="1"/>
  <c r="L529" i="1"/>
  <c r="L524" i="1"/>
  <c r="F549" i="1"/>
  <c r="D104" i="2"/>
  <c r="F33" i="13"/>
  <c r="K598" i="1"/>
  <c r="G647" i="1" s="1"/>
  <c r="J647" i="1" s="1"/>
  <c r="H338" i="1"/>
  <c r="H352" i="1" s="1"/>
  <c r="I662" i="1"/>
  <c r="D33" i="13"/>
  <c r="D36" i="13" s="1"/>
  <c r="G461" i="1"/>
  <c r="H640" i="1" s="1"/>
  <c r="J640" i="1" s="1"/>
  <c r="C12" i="13"/>
  <c r="L614" i="1"/>
  <c r="G9" i="2"/>
  <c r="G18" i="2" s="1"/>
  <c r="G30" i="2"/>
  <c r="G31" i="2" s="1"/>
  <c r="C38" i="10"/>
  <c r="J643" i="1"/>
  <c r="J624" i="1"/>
  <c r="J618" i="1"/>
  <c r="J37" i="1"/>
  <c r="I460" i="1"/>
  <c r="I461" i="1" s="1"/>
  <c r="H642" i="1" s="1"/>
  <c r="J642" i="1" s="1"/>
  <c r="E50" i="2"/>
  <c r="E51" i="2" s="1"/>
  <c r="L337" i="1"/>
  <c r="L338" i="1" s="1"/>
  <c r="L352" i="1" s="1"/>
  <c r="G633" i="1" s="1"/>
  <c r="J633" i="1" s="1"/>
  <c r="F103" i="2"/>
  <c r="E16" i="13"/>
  <c r="I368" i="1"/>
  <c r="I369" i="1" s="1"/>
  <c r="H634" i="1" s="1"/>
  <c r="J634" i="1" s="1"/>
  <c r="I257" i="1"/>
  <c r="I271" i="1" s="1"/>
  <c r="E78" i="2"/>
  <c r="E81" i="2" s="1"/>
  <c r="E104" i="2" s="1"/>
  <c r="F81" i="2"/>
  <c r="F104" i="2" s="1"/>
  <c r="C70" i="2"/>
  <c r="C81" i="2" s="1"/>
  <c r="C56" i="2"/>
  <c r="C63" i="2" s="1"/>
  <c r="C26" i="10"/>
  <c r="C143" i="2"/>
  <c r="F112" i="1"/>
  <c r="G63" i="2"/>
  <c r="G104" i="2" s="1"/>
  <c r="H662" i="1"/>
  <c r="E124" i="2"/>
  <c r="E121" i="2"/>
  <c r="E128" i="2" s="1"/>
  <c r="C13" i="10"/>
  <c r="C28" i="10" s="1"/>
  <c r="E112" i="2"/>
  <c r="E115" i="2" s="1"/>
  <c r="E145" i="2" s="1"/>
  <c r="L247" i="1"/>
  <c r="H660" i="1" s="1"/>
  <c r="H664" i="1" s="1"/>
  <c r="L211" i="1"/>
  <c r="D127" i="2"/>
  <c r="D128" i="2" s="1"/>
  <c r="D145" i="2" s="1"/>
  <c r="G164" i="2"/>
  <c r="D18" i="2"/>
  <c r="L229" i="1"/>
  <c r="G660" i="1" s="1"/>
  <c r="G664" i="1" s="1"/>
  <c r="H476" i="1"/>
  <c r="H624" i="1" s="1"/>
  <c r="L433" i="1"/>
  <c r="L427" i="1"/>
  <c r="L419" i="1"/>
  <c r="L434" i="1" s="1"/>
  <c r="G638" i="1" s="1"/>
  <c r="J638" i="1" s="1"/>
  <c r="F50" i="2"/>
  <c r="F51" i="2" s="1"/>
  <c r="F31" i="2"/>
  <c r="F169" i="1"/>
  <c r="C39" i="10" s="1"/>
  <c r="L393" i="1"/>
  <c r="J623" i="1"/>
  <c r="H632" i="1"/>
  <c r="F474" i="1"/>
  <c r="F476" i="1" s="1"/>
  <c r="H622" i="1" s="1"/>
  <c r="J622" i="1" s="1"/>
  <c r="D10" i="10" l="1"/>
  <c r="D18" i="10"/>
  <c r="G552" i="1"/>
  <c r="H667" i="1"/>
  <c r="H672" i="1"/>
  <c r="D26" i="10"/>
  <c r="G36" i="2"/>
  <c r="G50" i="2" s="1"/>
  <c r="G51" i="2" s="1"/>
  <c r="J51" i="1"/>
  <c r="K549" i="1"/>
  <c r="K552" i="1" s="1"/>
  <c r="F552" i="1"/>
  <c r="G667" i="1"/>
  <c r="G672" i="1"/>
  <c r="L257" i="1"/>
  <c r="L271" i="1" s="1"/>
  <c r="G632" i="1" s="1"/>
  <c r="J632" i="1" s="1"/>
  <c r="F660" i="1"/>
  <c r="F193" i="1"/>
  <c r="G627" i="1" s="1"/>
  <c r="J627" i="1" s="1"/>
  <c r="C36" i="10"/>
  <c r="D24" i="10"/>
  <c r="D21" i="10"/>
  <c r="D20" i="10"/>
  <c r="D16" i="10"/>
  <c r="C30" i="10"/>
  <c r="D12" i="10"/>
  <c r="D11" i="10"/>
  <c r="D25" i="10"/>
  <c r="D23" i="10"/>
  <c r="D22" i="10"/>
  <c r="D27" i="10"/>
  <c r="D17" i="10"/>
  <c r="D15" i="10"/>
  <c r="L408" i="1"/>
  <c r="C138" i="2"/>
  <c r="D13" i="10"/>
  <c r="C104" i="2"/>
  <c r="C16" i="13"/>
  <c r="E33" i="13"/>
  <c r="D35" i="13" s="1"/>
  <c r="L545" i="1"/>
  <c r="D19" i="10"/>
  <c r="D28" i="10" l="1"/>
  <c r="G637" i="1"/>
  <c r="J637" i="1" s="1"/>
  <c r="H646" i="1"/>
  <c r="J646" i="1" s="1"/>
  <c r="F664" i="1"/>
  <c r="I660" i="1"/>
  <c r="I664" i="1" s="1"/>
  <c r="D36" i="10"/>
  <c r="C41" i="10"/>
  <c r="C141" i="2"/>
  <c r="C144" i="2"/>
  <c r="C145" i="2" s="1"/>
  <c r="G626" i="1"/>
  <c r="J52" i="1"/>
  <c r="H621" i="1" s="1"/>
  <c r="J621" i="1" s="1"/>
  <c r="I672" i="1" l="1"/>
  <c r="C7" i="10" s="1"/>
  <c r="I667" i="1"/>
  <c r="F667" i="1"/>
  <c r="F672" i="1"/>
  <c r="C4" i="10" s="1"/>
  <c r="D40" i="10"/>
  <c r="D37" i="10"/>
  <c r="D35" i="10"/>
  <c r="D39" i="10"/>
  <c r="D38" i="10"/>
  <c r="J626" i="1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<sst xmlns="http://schemas.openxmlformats.org/spreadsheetml/2006/main" count="3957" uniqueCount="915">
  <si>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</si>
  <si>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</si>
  <si>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</si>
  <si>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</si>
  <si>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</si>
  <si>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</si>
  <si>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</si>
  <si>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</si>
  <si>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</si>
  <si>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</si>
  <si>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</si>
  <si>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</si>
  <si>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</si>
  <si>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</si>
  <si>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</si>
  <si>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</si>
  <si>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</si>
  <si>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</si>
  <si>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</si>
  <si>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</si>
  <si>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</si>
  <si>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</si>
  <si>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</si>
  <si>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</si>
  <si>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</si>
  <si>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</si>
  <si>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</si>
  <si>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</si>
  <si>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</si>
  <si>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</si>
  <si>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</si>
  <si>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</si>
  <si>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</si>
  <si>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</si>
  <si>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</si>
  <si>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</si>
  <si>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</si>
  <si>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</si>
  <si>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</si>
  <si>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</si>
  <si>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</si>
  <si>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</si>
  <si>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</si>
  <si>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</si>
  <si>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</si>
  <si>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</si>
  <si>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</si>
  <si>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</si>
  <si>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</si>
  <si>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</si>
  <si>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</si>
  <si>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</si>
  <si>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</si>
  <si>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</si>
  <si>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</si>
  <si>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</si>
  <si>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</si>
  <si>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</si>
  <si>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</si>
  <si>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</si>
  <si>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</si>
  <si>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</si>
  <si>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</si>
  <si>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</si>
  <si>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</si>
  <si>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</si>
  <si>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</si>
  <si>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</si>
  <si>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</si>
  <si>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</si>
  <si>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</si>
  <si>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</si>
  <si>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</si>
  <si>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</si>
  <si>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</si>
  <si>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</si>
  <si>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</si>
  <si>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</si>
  <si>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</si>
  <si>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</si>
  <si>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</si>
  <si>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</si>
  <si>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</si>
  <si>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</si>
  <si>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</si>
  <si>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</si>
  <si>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</si>
  <si>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</si>
  <si>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</si>
  <si>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</si>
  <si>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</si>
  <si>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</si>
  <si>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</si>
  <si>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</si>
  <si>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</si>
  <si>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</si>
  <si>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</si>
  <si>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</si>
  <si>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</si>
  <si>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</si>
  <si>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</si>
  <si>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</si>
  <si>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</si>
  <si>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</si>
  <si>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</si>
  <si>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</si>
  <si>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</si>
  <si>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</si>
  <si>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</si>
  <si>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</si>
  <si>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</si>
  <si>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</si>
  <si>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</si>
  <si>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</si>
  <si>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</si>
  <si>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</si>
  <si>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</si>
  <si>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</si>
  <si>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</si>
  <si>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</si>
  <si>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</si>
  <si>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</si>
  <si>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</si>
  <si>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</si>
  <si>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</si>
  <si>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</si>
  <si>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</si>
  <si>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</si>
  <si>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</si>
  <si>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</si>
  <si>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</si>
  <si>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</si>
  <si>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</si>
  <si>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</si>
  <si>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</si>
  <si>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</si>
  <si>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</si>
  <si>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</si>
  <si>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</si>
  <si>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</si>
  <si>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</si>
  <si>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</si>
  <si>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</si>
  <si>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</si>
  <si>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</si>
  <si>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</si>
  <si>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</si>
  <si>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</si>
  <si>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</si>
  <si>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</si>
  <si>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</si>
  <si>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</si>
  <si>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</si>
  <si>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</si>
  <si>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</si>
  <si>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</si>
  <si>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</si>
  <si>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</si>
  <si>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</si>
  <si>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</si>
  <si>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</si>
  <si>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</si>
  <si>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</si>
  <si>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</si>
  <si>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</si>
  <si>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</si>
  <si>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</si>
  <si>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</si>
  <si>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</si>
  <si>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</si>
  <si>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</si>
  <si>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</si>
  <si>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</si>
  <si>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</si>
  <si>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</si>
  <si>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</si>
  <si>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</si>
  <si>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</si>
  <si>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</si>
  <si>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</si>
  <si>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</si>
  <si>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</si>
  <si>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</si>
  <si>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</si>
  <si>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</si>
  <si>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</si>
  <si>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</si>
  <si>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</si>
  <si>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</si>
  <si>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</si>
  <si>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</si>
  <si>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</si>
  <si>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</si>
  <si>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</si>
  <si>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</si>
  <si>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</si>
  <si>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</si>
  <si>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</si>
  <si>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</si>
  <si>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</si>
  <si>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</si>
  <si>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</si>
  <si>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</si>
  <si>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</si>
  <si>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</si>
  <si>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</si>
  <si>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</si>
  <si>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</si>
  <si>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</si>
  <si>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</si>
  <si>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</si>
  <si>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</si>
  <si>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</si>
  <si>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</si>
  <si>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</si>
  <si>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</si>
  <si>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</si>
  <si>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</si>
  <si>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</si>
  <si>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</si>
  <si>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</si>
  <si>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</si>
  <si>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</si>
  <si>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</si>
  <si>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</si>
  <si>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</si>
  <si>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</si>
  <si>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</si>
  <si>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</si>
  <si>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</si>
  <si>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</si>
  <si>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</si>
  <si>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</si>
  <si>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</si>
  <si>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</si>
  <si>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</si>
  <si>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</si>
  <si>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</si>
  <si>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</si>
  <si>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</si>
  <si>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</si>
  <si>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</si>
  <si>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</si>
  <si>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</si>
  <si>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</si>
  <si>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</si>
  <si>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</si>
  <si>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</si>
  <si>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</si>
  <si>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</si>
  <si>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</si>
  <si>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</si>
  <si>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</si>
  <si>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</si>
  <si>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</si>
  <si>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</si>
  <si>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</si>
  <si>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</si>
  <si>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</si>
  <si>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</si>
  <si>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</si>
  <si>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</si>
  <si>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</si>
  <si>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</si>
  <si>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</si>
  <si>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</si>
  <si>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</si>
  <si>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</si>
  <si>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</si>
  <si>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</si>
  <si>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</si>
  <si>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</si>
  <si>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</si>
  <si>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</si>
  <si>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</si>
  <si>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</si>
  <si>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</si>
  <si>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</si>
  <si>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</si>
  <si>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</si>
  <si>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</si>
  <si>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</si>
  <si>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</si>
  <si>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</si>
  <si>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</si>
  <si>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</si>
  <si>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</si>
  <si>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</si>
  <si>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</si>
  <si>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</si>
  <si>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</si>
  <si>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</si>
  <si>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</si>
  <si>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</si>
  <si>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</si>
  <si>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</si>
  <si>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</si>
  <si>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</si>
  <si>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</si>
  <si>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</si>
  <si>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</si>
  <si>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</si>
  <si>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</si>
  <si>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</si>
  <si>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</si>
  <si>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</si>
  <si>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</si>
  <si>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</si>
  <si>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</si>
  <si>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</si>
  <si>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</si>
  <si>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</si>
  <si>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</si>
  <si>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</si>
  <si>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</si>
  <si>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</si>
  <si>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</si>
  <si>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</si>
  <si>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</si>
  <si>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</si>
  <si>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</si>
  <si>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</si>
  <si>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</si>
  <si>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</si>
  <si>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</si>
  <si>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</si>
  <si>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</si>
  <si>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</si>
  <si>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</si>
  <si>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</si>
  <si>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</si>
  <si>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</si>
  <si>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</si>
  <si>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</si>
  <si>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</si>
  <si>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</si>
  <si>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</si>
  <si>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</si>
  <si>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</si>
  <si>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</si>
  <si>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</si>
  <si>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</si>
  <si>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</si>
  <si>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</si>
  <si>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</si>
  <si>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</si>
  <si>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</si>
  <si>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</si>
  <si>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</si>
  <si>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</si>
  <si>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</si>
  <si>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</si>
  <si>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</si>
  <si>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</si>
  <si>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</si>
  <si>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</si>
  <si>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</si>
  <si>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</si>
  <si>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</si>
  <si>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</si>
  <si>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</si>
  <si>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</si>
  <si>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</si>
  <si>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</si>
  <si>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</si>
  <si>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</si>
  <si>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</si>
  <si>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</si>
  <si>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</si>
  <si>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</si>
  <si>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</si>
  <si>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</si>
  <si>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</si>
  <si>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</si>
  <si>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</si>
  <si>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</si>
  <si>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</si>
  <si>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</si>
  <si>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</si>
  <si>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</si>
  <si>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</si>
  <si>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</si>
  <si>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</si>
  <si>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</si>
  <si>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</si>
  <si>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</si>
  <si>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</si>
  <si>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</si>
  <si>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</si>
  <si>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</si>
  <si>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</si>
  <si>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</si>
  <si>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</si>
  <si>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</si>
  <si>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</si>
  <si>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</si>
  <si>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</si>
  <si>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</si>
  <si>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</si>
  <si>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</si>
  <si>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</si>
  <si>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</si>
  <si>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</si>
  <si>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</si>
  <si>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</si>
  <si>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</si>
  <si>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</si>
  <si>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</si>
  <si>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</si>
  <si>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</si>
  <si>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</si>
  <si>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</si>
  <si>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</si>
  <si>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</si>
  <si>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</si>
  <si>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</si>
  <si>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</si>
  <si>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</si>
  <si>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</si>
  <si>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</si>
  <si>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</si>
  <si>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</si>
  <si>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</si>
  <si>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</si>
  <si>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</si>
  <si>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</si>
  <si>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</si>
  <si>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</si>
  <si>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</si>
  <si>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</si>
  <si>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</si>
  <si>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</si>
  <si>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</si>
  <si>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</si>
  <si>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</si>
  <si>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</si>
  <si>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</si>
  <si>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</si>
  <si>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</si>
  <si>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</si>
  <si>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</si>
  <si>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</si>
  <si>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</si>
  <si>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</si>
  <si>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</si>
  <si>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</si>
  <si>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</si>
  <si>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</si>
  <si>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</si>
  <si>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</si>
  <si>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</si>
  <si>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</si>
  <si>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</si>
  <si>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</si>
  <si>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</si>
  <si>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</si>
  <si>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</si>
  <si>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</si>
  <si>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</si>
  <si>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</si>
  <si>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</si>
  <si>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</si>
  <si>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</si>
  <si>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</si>
  <si>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</si>
  <si>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</si>
  <si>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</si>
  <si>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</si>
  <si>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</si>
  <si>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</si>
  <si>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</si>
  <si>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</si>
  <si>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</si>
  <si>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</si>
  <si>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</si>
  <si>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</si>
  <si>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</si>
  <si>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</si>
  <si>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</si>
  <si>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</si>
  <si>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</si>
  <si>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</si>
  <si>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</si>
  <si>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</si>
  <si>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</si>
  <si>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</si>
  <si>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</si>
  <si>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</si>
  <si>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</si>
  <si>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</si>
  <si>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</si>
  <si>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</si>
  <si>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</si>
  <si>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</si>
  <si>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</si>
  <si>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</si>
  <si>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</si>
  <si>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</si>
  <si>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</si>
  <si>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</si>
  <si>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</si>
  <si>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</si>
  <si>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</si>
  <si>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</si>
  <si>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</si>
  <si>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</si>
  <si>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</si>
  <si>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</si>
  <si>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</si>
  <si>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</si>
  <si>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</si>
  <si>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</si>
  <si>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</si>
  <si>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</si>
  <si>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</si>
  <si>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</si>
  <si>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</si>
  <si>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</si>
  <si>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</si>
  <si>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</si>
  <si>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</si>
  <si>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</si>
  <si>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</si>
  <si>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</si>
  <si>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</si>
  <si>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</si>
  <si>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</si>
  <si>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</si>
  <si>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</si>
  <si>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</si>
  <si>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</si>
  <si>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</si>
  <si>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</si>
  <si>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</si>
  <si>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</si>
  <si>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</si>
  <si>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</si>
  <si>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</si>
  <si>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</si>
  <si>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</si>
  <si>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</si>
  <si>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</si>
  <si>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</si>
  <si>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</si>
  <si>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</si>
  <si>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</si>
  <si>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</si>
  <si>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</si>
  <si>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</si>
  <si>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</si>
  <si>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</si>
  <si>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</si>
  <si>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</si>
  <si>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</si>
  <si>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</si>
  <si>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</si>
  <si>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</si>
  <si>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</si>
  <si>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</si>
  <si>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</si>
  <si>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</si>
  <si>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</si>
  <si>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</si>
  <si>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</si>
  <si>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</si>
  <si>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</si>
  <si>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</si>
  <si>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</si>
  <si>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</si>
  <si>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</si>
  <si>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</si>
  <si>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</si>
  <si>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</si>
  <si>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</si>
  <si>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</si>
  <si>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</si>
  <si>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</si>
  <si>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</si>
  <si>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</si>
  <si>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</si>
  <si>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</si>
  <si>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</si>
  <si>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</si>
  <si>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</si>
  <si>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</si>
  <si>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</si>
  <si>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</si>
  <si>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</si>
  <si>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</si>
  <si>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</si>
  <si>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</si>
  <si>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</si>
  <si>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</si>
  <si>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</si>
  <si>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</si>
  <si>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</si>
  <si>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</si>
  <si>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</si>
  <si>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</si>
  <si>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</si>
  <si>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</si>
  <si>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</si>
  <si>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</si>
  <si>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</si>
  <si>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</si>
  <si>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</si>
  <si>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</si>
  <si>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</si>
  <si>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</si>
  <si>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</si>
  <si>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</si>
  <si>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</si>
  <si>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</si>
  <si>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</si>
  <si>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</si>
  <si>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</si>
  <si>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</si>
  <si>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</si>
  <si>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</si>
  <si>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</si>
  <si>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</si>
  <si>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</si>
  <si>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</si>
  <si>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</si>
  <si>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</si>
  <si>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</si>
  <si>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</si>
  <si>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</si>
  <si>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</si>
  <si>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</si>
  <si>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</si>
  <si>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</si>
  <si>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</si>
  <si>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</si>
  <si>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</si>
  <si>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</si>
  <si>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</si>
  <si>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</si>
  <si>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</si>
  <si>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</si>
  <si>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</si>
  <si>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</si>
  <si>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</si>
  <si>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</si>
  <si>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</si>
  <si>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</si>
  <si>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</si>
  <si>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</si>
  <si>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</si>
  <si>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</si>
  <si>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</si>
  <si>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</si>
  <si>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</si>
  <si>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</si>
  <si>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</si>
  <si>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</si>
  <si>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</si>
  <si>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</si>
  <si>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</si>
  <si>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</si>
  <si>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</si>
  <si>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</si>
  <si>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</si>
  <si>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</si>
  <si>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</si>
  <si>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</si>
  <si>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</si>
  <si>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</si>
  <si>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</si>
  <si>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</si>
  <si>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</si>
  <si>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</si>
  <si>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</si>
  <si>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</si>
  <si>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</si>
  <si>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</si>
  <si>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</si>
  <si>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</si>
  <si>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</si>
  <si>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</si>
  <si>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</si>
  <si>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</si>
  <si>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</si>
  <si>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</si>
  <si>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</si>
  <si>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</si>
  <si>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</si>
  <si>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</si>
  <si>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</si>
  <si>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</si>
  <si>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</si>
  <si>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</si>
  <si>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</si>
  <si>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</si>
  <si>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</si>
  <si>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</si>
  <si>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</si>
  <si>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</si>
  <si>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</si>
  <si>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</si>
  <si>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</si>
  <si>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</si>
  <si>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</si>
  <si>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</si>
  <si>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</si>
  <si>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</si>
  <si>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</si>
  <si>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</si>
  <si>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</si>
  <si>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</si>
  <si>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</si>
  <si>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</si>
  <si>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</si>
  <si>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</si>
  <si>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</si>
  <si>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</si>
  <si>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</si>
  <si>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</si>
  <si>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</si>
  <si>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</si>
  <si>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</si>
  <si>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</si>
  <si>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</si>
  <si>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</si>
  <si>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</si>
  <si>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</si>
  <si>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</si>
  <si>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</si>
  <si>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</si>
  <si>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</si>
  <si>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</si>
  <si>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</si>
  <si>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</si>
  <si>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</si>
  <si>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</si>
  <si>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</si>
  <si>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</si>
  <si>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</si>
  <si>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</si>
  <si>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</si>
  <si>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</si>
  <si>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</si>
  <si>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</si>
  <si>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</si>
  <si>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</si>
  <si>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</si>
  <si>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</si>
  <si>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</si>
  <si>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</si>
  <si>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</si>
  <si>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</si>
  <si>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</si>
  <si>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</si>
  <si>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</si>
  <si>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</si>
  <si>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</si>
  <si>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</si>
  <si>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</si>
  <si>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</si>
  <si>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</si>
  <si>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</si>
  <si>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</si>
  <si>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</si>
  <si>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</si>
  <si>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</si>
  <si>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</si>
  <si>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</si>
  <si>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</si>
  <si>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</si>
  <si>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</si>
  <si>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</si>
  <si>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</si>
  <si>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</si>
  <si>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</si>
  <si>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</si>
  <si>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</si>
  <si>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</si>
  <si>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</si>
  <si>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</si>
  <si>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</si>
  <si>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</si>
  <si>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</si>
  <si>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</si>
  <si>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</si>
  <si>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</si>
  <si>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</si>
  <si>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</si>
  <si>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</si>
  <si>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</si>
  <si>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</si>
  <si>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</si>
  <si>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</si>
  <si>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</si>
  <si>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</si>
  <si>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</si>
  <si>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</si>
  <si>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</si>
  <si>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</si>
  <si>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</si>
  <si>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</si>
  <si>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</si>
  <si>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</si>
  <si>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</si>
  <si>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</si>
  <si>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</si>
  <si>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</si>
  <si>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</si>
  <si>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</si>
  <si>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</si>
  <si>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</si>
  <si>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</si>
  <si>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</si>
  <si>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</si>
  <si>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</si>
  <si>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</si>
  <si>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</si>
  <si>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</si>
  <si>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</si>
  <si>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</si>
  <si>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</si>
  <si>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</si>
  <si>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</si>
  <si>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</si>
  <si>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</si>
  <si>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</si>
  <si>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</si>
  <si>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</si>
  <si>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</si>
  <si>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</si>
  <si>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</si>
  <si>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</si>
  <si>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</si>
  <si>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</si>
  <si>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</si>
  <si>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</si>
  <si>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</si>
  <si>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</si>
  <si>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</si>
  <si>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</si>
  <si>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</si>
  <si>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</si>
  <si>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</si>
  <si>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</si>
  <si>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</si>
  <si>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</si>
  <si>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</si>
  <si>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</si>
  <si>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</si>
  <si>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</si>
  <si>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</si>
  <si>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</si>
  <si>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</si>
  <si>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</si>
  <si>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</si>
  <si>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</si>
  <si>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</si>
  <si>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</si>
  <si>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</si>
  <si>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</si>
  <si>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</si>
  <si>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</si>
  <si>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</si>
  <si>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</si>
  <si>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</si>
  <si>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</si>
  <si>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</si>
  <si>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</si>
  <si>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</si>
  <si>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</si>
  <si>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</si>
  <si>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</si>
  <si>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</si>
  <si>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</si>
  <si>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</si>
  <si>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</si>
  <si>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</si>
  <si>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</si>
  <si>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</si>
  <si>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</si>
  <si>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</si>
  <si>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</si>
  <si>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</si>
  <si>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</si>
  <si>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</si>
  <si>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</si>
  <si>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</si>
  <si>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</si>
  <si>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</si>
  <si>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</si>
  <si>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</si>
  <si>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</si>
  <si>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</si>
  <si>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</si>
  <si>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</si>
  <si>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</si>
  <si>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</si>
  <si>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</si>
  <si>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</si>
  <si>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</si>
  <si>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</si>
  <si>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</si>
  <si>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</si>
  <si>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</si>
  <si>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</si>
  <si>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</si>
  <si>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</si>
  <si>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</si>
  <si>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</si>
  <si>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</si>
  <si>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</si>
  <si>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</si>
  <si>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Nottingham School District</t>
  </si>
  <si>
    <t>Tuition income for the district is receivedfrom those parents that elect to send their child to Coe Brown Northwood Academy</t>
  </si>
  <si>
    <t xml:space="preserve">and are required to remit to the district the differential in tuition to attend CBNA to that of Dover High School.  </t>
  </si>
  <si>
    <t xml:space="preserve">This amount $86,721 is mostly due to the settlement with the Local Government Center.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</si>
</sst>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197" sqref="F197:K20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413</v>
      </c>
      <c r="C2" s="21">
        <v>413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1028357.04</v>
      </c>
      <c r="G9" s="18"/>
      <c r="H9" s="18"/>
      <c r="I9" s="18"/>
      <c r="J9" s="67">
        <f>SUM(I439)</f>
        <v>104040.62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12388.01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4186.59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49394.83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3441.75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1077751.8700000001</v>
      </c>
      <c r="G19" s="41">
        <f>SUM(G9:G18)</f>
        <v>20016.349999999999</v>
      </c>
      <c r="H19" s="41">
        <f>SUM(H9:H18)</f>
        <v>0</v>
      </c>
      <c r="I19" s="41">
        <f>SUM(I9:I18)</f>
        <v>0</v>
      </c>
      <c r="J19" s="41">
        <f>SUM(J9:J18)</f>
        <v>104040.62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12388.01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256450.55+4106.86</f>
        <v>260557.40999999997</v>
      </c>
      <c r="G24" s="18">
        <v>16468.73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191152.06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105.87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464097.48</v>
      </c>
      <c r="G32" s="41">
        <f>SUM(G22:G31)</f>
        <v>16574.599999999999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3441.75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104040.62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573654.39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613654.39</v>
      </c>
      <c r="G51" s="41">
        <f>SUM(G35:G50)</f>
        <v>3441.75</v>
      </c>
      <c r="H51" s="41">
        <f>SUM(H35:H50)</f>
        <v>0</v>
      </c>
      <c r="I51" s="41">
        <f>SUM(I35:I50)</f>
        <v>0</v>
      </c>
      <c r="J51" s="41">
        <f>SUM(J35:J50)</f>
        <v>104040.62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1077751.8700000001</v>
      </c>
      <c r="G52" s="41">
        <f>G51+G32</f>
        <v>20016.349999999999</v>
      </c>
      <c r="H52" s="41">
        <f>H51+H32</f>
        <v>0</v>
      </c>
      <c r="I52" s="41">
        <f>I51+I32</f>
        <v>0</v>
      </c>
      <c r="J52" s="41">
        <f>J51+J32</f>
        <v>104040.62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7430535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7430535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274348.36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10333.48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284681.83999999997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47.29</v>
      </c>
      <c r="G96" s="18"/>
      <c r="H96" s="18"/>
      <c r="I96" s="18"/>
      <c r="J96" s="18">
        <v>154.30000000000001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98352.33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1135.29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280+86441.13</f>
        <v>86721.13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87903.71</v>
      </c>
      <c r="G111" s="41">
        <f>SUM(G96:G110)</f>
        <v>98352.33</v>
      </c>
      <c r="H111" s="41">
        <f>SUM(H96:H110)</f>
        <v>0</v>
      </c>
      <c r="I111" s="41">
        <f>SUM(I96:I110)</f>
        <v>0</v>
      </c>
      <c r="J111" s="41">
        <f>SUM(J96:J110)</f>
        <v>154.30000000000001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7803120.5499999998</v>
      </c>
      <c r="G112" s="41">
        <f>G60+G111</f>
        <v>98352.33</v>
      </c>
      <c r="H112" s="41">
        <f>H60+H79+H94+H111</f>
        <v>0</v>
      </c>
      <c r="I112" s="41">
        <f>I60+I111</f>
        <v>0</v>
      </c>
      <c r="J112" s="41">
        <f>J60+J111</f>
        <v>154.30000000000001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1261143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1356701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2617844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60536.88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2766.06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60536.88</v>
      </c>
      <c r="G136" s="41">
        <f>SUM(G123:G135)</f>
        <v>2766.06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2678380.88</v>
      </c>
      <c r="G140" s="41">
        <f>G121+SUM(G136:G137)</f>
        <v>2766.06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49174.32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57312.54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57312.54</v>
      </c>
      <c r="G162" s="41">
        <f>SUM(G150:G161)</f>
        <v>49174.32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57312.54</v>
      </c>
      <c r="G169" s="41">
        <f>G147+G162+SUM(G163:G168)</f>
        <v>49174.32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28912.53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28912.53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28912.53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10538813.969999999</v>
      </c>
      <c r="G193" s="47">
        <f>G112+G140+G169+G192</f>
        <v>179205.24</v>
      </c>
      <c r="H193" s="47">
        <f>H112+H140+H169+H192</f>
        <v>0</v>
      </c>
      <c r="I193" s="47">
        <f>I112+I140+I169+I192</f>
        <v>0</v>
      </c>
      <c r="J193" s="47">
        <f>J112+J140+J192</f>
        <v>30154.3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305">
        <v>1924758.7</v>
      </c>
      <c r="G197" s="305">
        <v>882363.18</v>
      </c>
      <c r="H197" s="305">
        <v>170061.46999999997</v>
      </c>
      <c r="I197" s="305">
        <v>105711.36</v>
      </c>
      <c r="J197" s="305">
        <v>215.94</v>
      </c>
      <c r="K197" s="305">
        <v>127</v>
      </c>
      <c r="L197" s="19">
        <f>SUM(F197:K197)</f>
        <v>3083237.6499999994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305">
        <v>694475.45</v>
      </c>
      <c r="G198" s="305">
        <v>260888.55</v>
      </c>
      <c r="H198" s="305">
        <v>222708.63000000003</v>
      </c>
      <c r="I198" s="305">
        <v>3813.13</v>
      </c>
      <c r="J198" s="305">
        <v>248.94</v>
      </c>
      <c r="K198" s="305">
        <v>200</v>
      </c>
      <c r="L198" s="19">
        <f>SUM(F198:K198)</f>
        <v>1182334.7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305">
        <v>0</v>
      </c>
      <c r="G199" s="305">
        <v>0</v>
      </c>
      <c r="H199" s="305">
        <v>0</v>
      </c>
      <c r="I199" s="305">
        <v>0</v>
      </c>
      <c r="J199" s="305">
        <v>0</v>
      </c>
      <c r="K199" s="305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305">
        <v>29100</v>
      </c>
      <c r="G200" s="305">
        <v>4173.18</v>
      </c>
      <c r="H200" s="305">
        <v>3480</v>
      </c>
      <c r="I200" s="305">
        <v>2567.1999999999998</v>
      </c>
      <c r="J200" s="305">
        <v>288</v>
      </c>
      <c r="K200" s="305">
        <v>1171</v>
      </c>
      <c r="L200" s="19">
        <f>SUM(F200:K200)</f>
        <v>40779.379999999997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308903.25</v>
      </c>
      <c r="G202" s="18">
        <v>166628.92000000001</v>
      </c>
      <c r="H202" s="18">
        <v>97222.79</v>
      </c>
      <c r="I202" s="18">
        <v>1597.03</v>
      </c>
      <c r="J202" s="18">
        <v>0</v>
      </c>
      <c r="K202" s="18">
        <v>0</v>
      </c>
      <c r="L202" s="19">
        <f t="shared" ref="L202:L208" si="0">SUM(F202:K202)</f>
        <v>574351.99000000011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135985.76</v>
      </c>
      <c r="G203" s="18">
        <v>83796.899999999994</v>
      </c>
      <c r="H203" s="18">
        <v>22244.54</v>
      </c>
      <c r="I203" s="18">
        <v>7597.29</v>
      </c>
      <c r="J203" s="18">
        <v>18100.05</v>
      </c>
      <c r="K203" s="18">
        <v>0</v>
      </c>
      <c r="L203" s="19">
        <f t="shared" si="0"/>
        <v>267724.54000000004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8096.76</v>
      </c>
      <c r="G204" s="18">
        <v>607.12</v>
      </c>
      <c r="H204" s="18">
        <v>245686.61</v>
      </c>
      <c r="I204" s="18">
        <v>0</v>
      </c>
      <c r="J204" s="18">
        <v>0</v>
      </c>
      <c r="K204" s="18">
        <v>2247.1</v>
      </c>
      <c r="L204" s="19">
        <f t="shared" si="0"/>
        <v>256637.59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335298.67</v>
      </c>
      <c r="G205" s="18">
        <v>124052.64</v>
      </c>
      <c r="H205" s="18">
        <v>10524.55</v>
      </c>
      <c r="I205" s="18">
        <v>3048.67</v>
      </c>
      <c r="J205" s="18">
        <v>0</v>
      </c>
      <c r="K205" s="18">
        <v>1470</v>
      </c>
      <c r="L205" s="19">
        <f t="shared" si="0"/>
        <v>474394.52999999997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20757.87</v>
      </c>
      <c r="G206" s="18">
        <v>9182.84</v>
      </c>
      <c r="H206" s="18">
        <v>650.38</v>
      </c>
      <c r="I206" s="18">
        <v>1972</v>
      </c>
      <c r="J206" s="18">
        <v>0</v>
      </c>
      <c r="K206" s="18">
        <v>0</v>
      </c>
      <c r="L206" s="19">
        <f t="shared" si="0"/>
        <v>32563.09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120963.97</v>
      </c>
      <c r="G207" s="18">
        <v>57129.53</v>
      </c>
      <c r="H207" s="18">
        <v>81108.5</v>
      </c>
      <c r="I207" s="18">
        <v>143917.82999999999</v>
      </c>
      <c r="J207" s="18">
        <f>10559.07+0.64</f>
        <v>10559.71</v>
      </c>
      <c r="K207" s="18">
        <v>0</v>
      </c>
      <c r="L207" s="19">
        <f t="shared" si="0"/>
        <v>413679.54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551750.32999999996</v>
      </c>
      <c r="I208" s="18"/>
      <c r="J208" s="18"/>
      <c r="K208" s="18"/>
      <c r="L208" s="19">
        <f t="shared" si="0"/>
        <v>551750.32999999996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3578340.43</v>
      </c>
      <c r="G211" s="41">
        <f t="shared" si="1"/>
        <v>1588822.8599999999</v>
      </c>
      <c r="H211" s="41">
        <f t="shared" si="1"/>
        <v>1405437.7999999998</v>
      </c>
      <c r="I211" s="41">
        <f t="shared" si="1"/>
        <v>270224.51</v>
      </c>
      <c r="J211" s="41">
        <f t="shared" si="1"/>
        <v>29412.639999999999</v>
      </c>
      <c r="K211" s="41">
        <f t="shared" si="1"/>
        <v>5215.1000000000004</v>
      </c>
      <c r="L211" s="41">
        <f t="shared" si="1"/>
        <v>6877453.3399999999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2585077.04</v>
      </c>
      <c r="I233" s="18"/>
      <c r="J233" s="18"/>
      <c r="K233" s="18"/>
      <c r="L233" s="19">
        <f>SUM(F233:K233)</f>
        <v>2585077.04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174568.48</v>
      </c>
      <c r="I234" s="18"/>
      <c r="J234" s="18"/>
      <c r="K234" s="18"/>
      <c r="L234" s="19">
        <f>SUM(F234:K234)</f>
        <v>174568.48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4755.24</v>
      </c>
      <c r="G240" s="18">
        <v>356.57</v>
      </c>
      <c r="H240" s="18">
        <v>144292.13</v>
      </c>
      <c r="I240" s="18">
        <v>0</v>
      </c>
      <c r="J240" s="18">
        <v>0</v>
      </c>
      <c r="K240" s="18">
        <v>1319.72</v>
      </c>
      <c r="L240" s="19">
        <f t="shared" si="4"/>
        <v>150723.66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12191.13</v>
      </c>
      <c r="G242" s="18">
        <v>5393.09</v>
      </c>
      <c r="H242" s="18">
        <v>381.97</v>
      </c>
      <c r="I242" s="18">
        <v>1158.18</v>
      </c>
      <c r="J242" s="18"/>
      <c r="K242" s="18"/>
      <c r="L242" s="19">
        <f t="shared" si="4"/>
        <v>19124.370000000003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219113.94</v>
      </c>
      <c r="I244" s="18"/>
      <c r="J244" s="18"/>
      <c r="K244" s="18"/>
      <c r="L244" s="19">
        <f t="shared" si="4"/>
        <v>219113.94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16946.37</v>
      </c>
      <c r="G247" s="41">
        <f t="shared" si="5"/>
        <v>5749.66</v>
      </c>
      <c r="H247" s="41">
        <f t="shared" si="5"/>
        <v>3123433.56</v>
      </c>
      <c r="I247" s="41">
        <f t="shared" si="5"/>
        <v>1158.18</v>
      </c>
      <c r="J247" s="41">
        <f t="shared" si="5"/>
        <v>0</v>
      </c>
      <c r="K247" s="41">
        <f t="shared" si="5"/>
        <v>1319.72</v>
      </c>
      <c r="L247" s="41">
        <f t="shared" si="5"/>
        <v>3148607.49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22425.7</v>
      </c>
      <c r="K255" s="18"/>
      <c r="L255" s="19">
        <f t="shared" si="6"/>
        <v>22425.7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22425.7</v>
      </c>
      <c r="K256" s="41">
        <f t="shared" si="7"/>
        <v>0</v>
      </c>
      <c r="L256" s="41">
        <f>SUM(F256:K256)</f>
        <v>22425.7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3595286.8000000003</v>
      </c>
      <c r="G257" s="41">
        <f t="shared" si="8"/>
        <v>1594572.5199999998</v>
      </c>
      <c r="H257" s="41">
        <f t="shared" si="8"/>
        <v>4528871.3599999994</v>
      </c>
      <c r="I257" s="41">
        <f t="shared" si="8"/>
        <v>271382.69</v>
      </c>
      <c r="J257" s="41">
        <f t="shared" si="8"/>
        <v>51838.34</v>
      </c>
      <c r="K257" s="41">
        <f t="shared" si="8"/>
        <v>6534.8200000000006</v>
      </c>
      <c r="L257" s="41">
        <f t="shared" si="8"/>
        <v>10048486.529999999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28912.53</v>
      </c>
      <c r="L263" s="19">
        <f>SUM(F263:K263)</f>
        <v>28912.53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58912.53</v>
      </c>
      <c r="L270" s="41">
        <f t="shared" si="9"/>
        <v>58912.53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3595286.8000000003</v>
      </c>
      <c r="G271" s="42">
        <f t="shared" si="11"/>
        <v>1594572.5199999998</v>
      </c>
      <c r="H271" s="42">
        <f t="shared" si="11"/>
        <v>4528871.3599999994</v>
      </c>
      <c r="I271" s="42">
        <f t="shared" si="11"/>
        <v>271382.69</v>
      </c>
      <c r="J271" s="42">
        <f t="shared" si="11"/>
        <v>51838.34</v>
      </c>
      <c r="K271" s="42">
        <f t="shared" si="11"/>
        <v>65447.35</v>
      </c>
      <c r="L271" s="42">
        <f t="shared" si="11"/>
        <v>10107399.059999999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66894.59+1966.57</f>
        <v>68861.16</v>
      </c>
      <c r="G358" s="18">
        <f>24687.04+544.2+133.5+5268.09+4215.9+0+314.13+158.59</f>
        <v>35321.449999999997</v>
      </c>
      <c r="H358" s="18">
        <f>2265.62+15344.53+447.32+44.8</f>
        <v>18102.27</v>
      </c>
      <c r="I358" s="18">
        <f>2137.49+54965.92+1064</f>
        <v>58167.409999999996</v>
      </c>
      <c r="J358" s="18">
        <v>0</v>
      </c>
      <c r="K358" s="18">
        <v>0</v>
      </c>
      <c r="L358" s="13">
        <f>SUM(F358:K358)</f>
        <v>180452.29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68861.16</v>
      </c>
      <c r="G362" s="47">
        <f t="shared" si="22"/>
        <v>35321.449999999997</v>
      </c>
      <c r="H362" s="47">
        <f t="shared" si="22"/>
        <v>18102.27</v>
      </c>
      <c r="I362" s="47">
        <f t="shared" si="22"/>
        <v>58167.409999999996</v>
      </c>
      <c r="J362" s="47">
        <f t="shared" si="22"/>
        <v>0</v>
      </c>
      <c r="K362" s="47">
        <f t="shared" si="22"/>
        <v>0</v>
      </c>
      <c r="L362" s="47">
        <f t="shared" si="22"/>
        <v>180452.29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54965.919999999998</v>
      </c>
      <c r="G367" s="18"/>
      <c r="H367" s="18"/>
      <c r="I367" s="56">
        <f>SUM(F367:H367)</f>
        <v>54965.919999999998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58167.41-54965.92</f>
        <v>3201.4900000000052</v>
      </c>
      <c r="G368" s="63"/>
      <c r="H368" s="63"/>
      <c r="I368" s="56">
        <f>SUM(F368:H368)</f>
        <v>3201.4900000000052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58167.41</v>
      </c>
      <c r="G369" s="47">
        <f>SUM(G367:G368)</f>
        <v>0</v>
      </c>
      <c r="H369" s="47">
        <f>SUM(H367:H368)</f>
        <v>0</v>
      </c>
      <c r="I369" s="47">
        <f>SUM(I367:I368)</f>
        <v>58167.41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</v>
      </c>
      <c r="H396" s="18">
        <v>34.82</v>
      </c>
      <c r="I396" s="18"/>
      <c r="J396" s="24" t="s">
        <v>289</v>
      </c>
      <c r="K396" s="24" t="s">
        <v>289</v>
      </c>
      <c r="L396" s="56">
        <f t="shared" si="26"/>
        <v>15034.82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119.48</v>
      </c>
      <c r="I397" s="18"/>
      <c r="J397" s="24" t="s">
        <v>289</v>
      </c>
      <c r="K397" s="24" t="s">
        <v>289</v>
      </c>
      <c r="L397" s="56">
        <f t="shared" si="26"/>
        <v>15119.48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154.30000000000001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30154.3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154.30000000000001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30154.3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12730</v>
      </c>
      <c r="I422" s="18"/>
      <c r="J422" s="18"/>
      <c r="K422" s="18"/>
      <c r="L422" s="56">
        <f t="shared" si="29"/>
        <v>12730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12730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12730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12730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12730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32956.54+68809.58+34.82+119.48+2120.2</f>
        <v>104040.62</v>
      </c>
      <c r="G439" s="18"/>
      <c r="H439" s="18"/>
      <c r="I439" s="56">
        <f t="shared" ref="I439:I445" si="33">SUM(F439:H439)</f>
        <v>104040.62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104040.62</v>
      </c>
      <c r="G446" s="13">
        <f>SUM(G439:G445)</f>
        <v>0</v>
      </c>
      <c r="H446" s="13">
        <f>SUM(H439:H445)</f>
        <v>0</v>
      </c>
      <c r="I446" s="13">
        <f>SUM(I439:I445)</f>
        <v>104040.62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101920.42+2120.2</f>
        <v>104040.62</v>
      </c>
      <c r="G459" s="18"/>
      <c r="H459" s="18"/>
      <c r="I459" s="56">
        <f t="shared" si="34"/>
        <v>104040.62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104040.62</v>
      </c>
      <c r="G460" s="83">
        <f>SUM(G454:G459)</f>
        <v>0</v>
      </c>
      <c r="H460" s="83">
        <f>SUM(H454:H459)</f>
        <v>0</v>
      </c>
      <c r="I460" s="83">
        <f>SUM(I454:I459)</f>
        <v>104040.62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104040.62</v>
      </c>
      <c r="G461" s="42">
        <f>G452+G460</f>
        <v>0</v>
      </c>
      <c r="H461" s="42">
        <f>H452+H460</f>
        <v>0</v>
      </c>
      <c r="I461" s="42">
        <f>I452+I460</f>
        <v>104040.62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182239.48</v>
      </c>
      <c r="G465" s="18">
        <v>4688.8</v>
      </c>
      <c r="H465" s="18"/>
      <c r="I465" s="18"/>
      <c r="J465" s="18">
        <v>86616.320000000007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10538813.970000001</v>
      </c>
      <c r="G468" s="18">
        <v>179205.24</v>
      </c>
      <c r="H468" s="18"/>
      <c r="I468" s="18"/>
      <c r="J468" s="18">
        <f>30000+34.82+119.48</f>
        <v>30154.3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10538813.970000001</v>
      </c>
      <c r="G470" s="53">
        <f>SUM(G468:G469)</f>
        <v>179205.24</v>
      </c>
      <c r="H470" s="53">
        <f>SUM(H468:H469)</f>
        <v>0</v>
      </c>
      <c r="I470" s="53">
        <f>SUM(I468:I469)</f>
        <v>0</v>
      </c>
      <c r="J470" s="53">
        <f>SUM(J468:J469)</f>
        <v>30154.3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10103292.2+4106.86</f>
        <v>10107399.059999999</v>
      </c>
      <c r="G472" s="18">
        <v>180452.29</v>
      </c>
      <c r="H472" s="18"/>
      <c r="I472" s="18"/>
      <c r="J472" s="18">
        <v>12730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10107399.059999999</v>
      </c>
      <c r="G474" s="53">
        <f>SUM(G472:G473)</f>
        <v>180452.29</v>
      </c>
      <c r="H474" s="53">
        <f>SUM(H472:H473)</f>
        <v>0</v>
      </c>
      <c r="I474" s="53">
        <f>SUM(I472:I473)</f>
        <v>0</v>
      </c>
      <c r="J474" s="53">
        <f>SUM(J472:J473)</f>
        <v>12730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613654.39000000246</v>
      </c>
      <c r="G476" s="53">
        <f>(G465+G470)- G474</f>
        <v>3441.7499999999709</v>
      </c>
      <c r="H476" s="53">
        <f>(H465+H470)- H474</f>
        <v>0</v>
      </c>
      <c r="I476" s="53">
        <f>(I465+I470)- I474</f>
        <v>0</v>
      </c>
      <c r="J476" s="53">
        <f>(J465+J470)- J474</f>
        <v>104040.62000000001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694475.45</v>
      </c>
      <c r="G521" s="18">
        <v>260888.65</v>
      </c>
      <c r="H521" s="18">
        <v>222476.73</v>
      </c>
      <c r="I521" s="18">
        <v>3813.13</v>
      </c>
      <c r="J521" s="18">
        <v>248.94</v>
      </c>
      <c r="K521" s="18">
        <v>200</v>
      </c>
      <c r="L521" s="88">
        <f>SUM(F521:K521)</f>
        <v>1182102.8999999999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109589.1</v>
      </c>
      <c r="I523" s="18"/>
      <c r="J523" s="18"/>
      <c r="K523" s="18"/>
      <c r="L523" s="88">
        <f>SUM(F523:K523)</f>
        <v>109589.1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694475.45</v>
      </c>
      <c r="G524" s="108">
        <f t="shared" ref="G524:L524" si="36">SUM(G521:G523)</f>
        <v>260888.65</v>
      </c>
      <c r="H524" s="108">
        <f t="shared" si="36"/>
        <v>332065.83</v>
      </c>
      <c r="I524" s="108">
        <f t="shared" si="36"/>
        <v>3813.13</v>
      </c>
      <c r="J524" s="108">
        <f t="shared" si="36"/>
        <v>248.94</v>
      </c>
      <c r="K524" s="108">
        <f t="shared" si="36"/>
        <v>200</v>
      </c>
      <c r="L524" s="89">
        <f t="shared" si="36"/>
        <v>1291692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303">
        <v>258971.82</v>
      </c>
      <c r="I526" s="18"/>
      <c r="J526" s="18"/>
      <c r="K526" s="18"/>
      <c r="L526" s="88">
        <f>SUM(F526:K526)</f>
        <v>258971.82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303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303">
        <v>2216.7800000000002</v>
      </c>
      <c r="I528" s="18"/>
      <c r="J528" s="18"/>
      <c r="K528" s="18"/>
      <c r="L528" s="88">
        <f>SUM(F528:K528)</f>
        <v>2216.7800000000002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261188.6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261188.6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76238</v>
      </c>
      <c r="I531" s="18"/>
      <c r="J531" s="18"/>
      <c r="K531" s="18"/>
      <c r="L531" s="88">
        <f>SUM(F531:K531)</f>
        <v>76238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44774</v>
      </c>
      <c r="I533" s="18"/>
      <c r="J533" s="18"/>
      <c r="K533" s="18"/>
      <c r="L533" s="88">
        <f>SUM(F533:K533)</f>
        <v>44774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121012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121012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183593.13</v>
      </c>
      <c r="I541" s="18"/>
      <c r="J541" s="18"/>
      <c r="K541" s="18"/>
      <c r="L541" s="88">
        <f>SUM(F541:K541)</f>
        <v>183593.13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19713</v>
      </c>
      <c r="I543" s="18"/>
      <c r="J543" s="18"/>
      <c r="K543" s="18"/>
      <c r="L543" s="88">
        <f>SUM(F543:K543)</f>
        <v>19713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203306.13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203306.13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694475.45</v>
      </c>
      <c r="G545" s="89">
        <f t="shared" ref="G545:L545" si="41">G524+G529+G534+G539+G544</f>
        <v>260888.65</v>
      </c>
      <c r="H545" s="89">
        <f t="shared" si="41"/>
        <v>917572.56</v>
      </c>
      <c r="I545" s="89">
        <f t="shared" si="41"/>
        <v>3813.13</v>
      </c>
      <c r="J545" s="89">
        <f t="shared" si="41"/>
        <v>248.94</v>
      </c>
      <c r="K545" s="89">
        <f t="shared" si="41"/>
        <v>200</v>
      </c>
      <c r="L545" s="89">
        <f t="shared" si="41"/>
        <v>1877198.73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1182102.8999999999</v>
      </c>
      <c r="G549" s="87">
        <f>L526</f>
        <v>258971.82</v>
      </c>
      <c r="H549" s="87">
        <f>L531</f>
        <v>76238</v>
      </c>
      <c r="I549" s="87">
        <f>L536</f>
        <v>0</v>
      </c>
      <c r="J549" s="87">
        <f>L541</f>
        <v>183593.13</v>
      </c>
      <c r="K549" s="87">
        <f>SUM(F549:J549)</f>
        <v>1700905.85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109589.1</v>
      </c>
      <c r="G551" s="87">
        <f>L528</f>
        <v>2216.7800000000002</v>
      </c>
      <c r="H551" s="87">
        <f>L533</f>
        <v>44774</v>
      </c>
      <c r="I551" s="87">
        <f>L538</f>
        <v>0</v>
      </c>
      <c r="J551" s="87">
        <f>L543</f>
        <v>19713</v>
      </c>
      <c r="K551" s="87">
        <f>SUM(F551:J551)</f>
        <v>176292.88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1291692</v>
      </c>
      <c r="G552" s="89">
        <f t="shared" si="42"/>
        <v>261188.6</v>
      </c>
      <c r="H552" s="89">
        <f t="shared" si="42"/>
        <v>121012</v>
      </c>
      <c r="I552" s="89">
        <f t="shared" si="42"/>
        <v>0</v>
      </c>
      <c r="J552" s="89">
        <f t="shared" si="42"/>
        <v>203306.13</v>
      </c>
      <c r="K552" s="89">
        <f t="shared" si="42"/>
        <v>1877198.73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151784.32999999999</v>
      </c>
      <c r="G575" s="18"/>
      <c r="H575" s="18">
        <v>1051389.71</v>
      </c>
      <c r="I575" s="87">
        <f>SUM(F575:H575)</f>
        <v>1203174.04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1533687.33</v>
      </c>
      <c r="I577" s="87">
        <f t="shared" si="47"/>
        <v>1533687.33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304">
        <v>141735.09</v>
      </c>
      <c r="G579" s="18"/>
      <c r="H579" s="18">
        <v>1200</v>
      </c>
      <c r="I579" s="87">
        <f t="shared" si="47"/>
        <v>142935.09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80973.539999999994</v>
      </c>
      <c r="G580" s="18"/>
      <c r="H580" s="18">
        <v>28795.56</v>
      </c>
      <c r="I580" s="87">
        <f t="shared" si="47"/>
        <v>109769.09999999999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27670.400000000001</v>
      </c>
      <c r="I581" s="87">
        <f t="shared" si="47"/>
        <v>27670.400000000001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359035.35</v>
      </c>
      <c r="I591" s="18"/>
      <c r="J591" s="18">
        <v>199400.94</v>
      </c>
      <c r="K591" s="104">
        <f t="shared" ref="K591:K597" si="48">SUM(H591:J591)</f>
        <v>558436.29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183593.13</v>
      </c>
      <c r="I592" s="18"/>
      <c r="J592" s="18">
        <v>19713</v>
      </c>
      <c r="K592" s="104">
        <f t="shared" si="48"/>
        <v>203306.13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3581.22</v>
      </c>
      <c r="I594" s="18"/>
      <c r="J594" s="18"/>
      <c r="K594" s="104">
        <f t="shared" si="48"/>
        <v>3581.22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5540.63</v>
      </c>
      <c r="I595" s="18"/>
      <c r="J595" s="18"/>
      <c r="K595" s="104">
        <f t="shared" si="48"/>
        <v>5540.63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551750.32999999996</v>
      </c>
      <c r="I598" s="108">
        <f>SUM(I591:I597)</f>
        <v>0</v>
      </c>
      <c r="J598" s="108">
        <f>SUM(J591:J597)</f>
        <v>219113.94</v>
      </c>
      <c r="K598" s="108">
        <f>SUM(K591:K597)</f>
        <v>770864.27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215.94+248.94+288+18100.05+10559.07+0.64</f>
        <v>29412.639999999999</v>
      </c>
      <c r="I604" s="18"/>
      <c r="J604" s="18"/>
      <c r="K604" s="104">
        <f>SUM(H604:J604)</f>
        <v>29412.639999999999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29412.639999999999</v>
      </c>
      <c r="I605" s="108">
        <f>SUM(I602:I604)</f>
        <v>0</v>
      </c>
      <c r="J605" s="108">
        <f>SUM(J602:J604)</f>
        <v>0</v>
      </c>
      <c r="K605" s="108">
        <f>SUM(K602:K604)</f>
        <v>29412.639999999999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1077751.8700000001</v>
      </c>
      <c r="H617" s="109">
        <f>SUM(F52)</f>
        <v>1077751.8700000001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20016.349999999999</v>
      </c>
      <c r="H618" s="109">
        <f>SUM(G52)</f>
        <v>20016.349999999999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104040.62</v>
      </c>
      <c r="H621" s="109">
        <f>SUM(J52)</f>
        <v>104040.62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613654.39</v>
      </c>
      <c r="H622" s="109">
        <f>F476</f>
        <v>613654.39000000246</v>
      </c>
      <c r="I622" s="121" t="s">
        <v>101</v>
      </c>
      <c r="J622" s="109">
        <f t="shared" ref="J622:J655" si="50">G622-H622</f>
        <v>-2.4447217583656311E-9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3441.75</v>
      </c>
      <c r="H623" s="109">
        <f>G476</f>
        <v>3441.7499999999709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104040.62</v>
      </c>
      <c r="H626" s="109">
        <f>J476</f>
        <v>104040.62000000001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10538813.969999999</v>
      </c>
      <c r="H627" s="104">
        <f>SUM(F468)</f>
        <v>10538813.970000001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179205.24</v>
      </c>
      <c r="H628" s="104">
        <f>SUM(G468)</f>
        <v>179205.24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30154.3</v>
      </c>
      <c r="H631" s="104">
        <f>SUM(J468)</f>
        <v>30154.3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10107399.059999999</v>
      </c>
      <c r="H632" s="104">
        <f>SUM(F472)</f>
        <v>10107399.059999999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58167.409999999996</v>
      </c>
      <c r="H634" s="104">
        <f>I369</f>
        <v>58167.41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180452.29</v>
      </c>
      <c r="H635" s="104">
        <f>SUM(G472)</f>
        <v>180452.29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30154.3</v>
      </c>
      <c r="H637" s="164">
        <f>SUM(J468)</f>
        <v>30154.3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12730</v>
      </c>
      <c r="H638" s="164">
        <f>SUM(J472)</f>
        <v>12730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104040.62</v>
      </c>
      <c r="H639" s="104">
        <f>SUM(F461)</f>
        <v>104040.62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104040.62</v>
      </c>
      <c r="H642" s="104">
        <f>SUM(I461)</f>
        <v>104040.62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154.30000000000001</v>
      </c>
      <c r="H644" s="104">
        <f>H408</f>
        <v>154.30000000000001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30154.3</v>
      </c>
      <c r="H646" s="104">
        <f>L408</f>
        <v>30154.3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770864.27</v>
      </c>
      <c r="H647" s="104">
        <f>L208+L226+L244</f>
        <v>770864.27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29412.639999999999</v>
      </c>
      <c r="H648" s="104">
        <f>(J257+J338)-(J255+J336)</f>
        <v>29412.639999999996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551750.32999999996</v>
      </c>
      <c r="H649" s="104">
        <f>H598</f>
        <v>551750.32999999996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219113.94</v>
      </c>
      <c r="H651" s="104">
        <f>J598</f>
        <v>219113.94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28912.53</v>
      </c>
      <c r="H652" s="104">
        <f>K263+K345</f>
        <v>28912.53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7057905.6299999999</v>
      </c>
      <c r="G660" s="19">
        <f>(L229+L309+L359)</f>
        <v>0</v>
      </c>
      <c r="H660" s="19">
        <f>(L247+L328+L360)</f>
        <v>3148607.49</v>
      </c>
      <c r="I660" s="19">
        <f>SUM(F660:H660)</f>
        <v>10206513.120000001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98352.33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98352.33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551750.32999999996</v>
      </c>
      <c r="G662" s="19">
        <f>(L226+L306)-(J226+J306)</f>
        <v>0</v>
      </c>
      <c r="H662" s="19">
        <f>(L244+L325)-(J244+J325)</f>
        <v>219113.94</v>
      </c>
      <c r="I662" s="19">
        <f>SUM(F662:H662)</f>
        <v>770864.27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403905.6</v>
      </c>
      <c r="G663" s="199">
        <f>SUM(G575:G587)+SUM(I602:I604)+L612</f>
        <v>0</v>
      </c>
      <c r="H663" s="199">
        <f>SUM(H575:H587)+SUM(J602:J604)+L613</f>
        <v>2642743</v>
      </c>
      <c r="I663" s="19">
        <f>SUM(F663:H663)</f>
        <v>3046648.6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6003897.3700000001</v>
      </c>
      <c r="G664" s="19">
        <f>G660-SUM(G661:G663)</f>
        <v>0</v>
      </c>
      <c r="H664" s="19">
        <f>H660-SUM(H661:H663)</f>
        <v>286750.55000000028</v>
      </c>
      <c r="I664" s="19">
        <f>I660-SUM(I661:I663)</f>
        <v>6290647.9200000009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484.99</v>
      </c>
      <c r="G665" s="248"/>
      <c r="H665" s="248"/>
      <c r="I665" s="19">
        <f>SUM(F665:H665)</f>
        <v>484.99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12379.43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12970.68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-286750.55</v>
      </c>
      <c r="I669" s="19">
        <f>SUM(F669:H669)</f>
        <v>-286750.55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12379.43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12379.43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6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Nottingham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1924758.7</v>
      </c>
      <c r="C9" s="229">
        <f>'DOE25'!G197+'DOE25'!G215+'DOE25'!G233+'DOE25'!G276+'DOE25'!G295+'DOE25'!G314</f>
        <v>882363.18</v>
      </c>
    </row>
    <row r="10" spans="1:3" x14ac:dyDescent="0.2">
      <c r="A10" t="s">
        <v>779</v>
      </c>
      <c r="B10" s="240">
        <v>1821933.82</v>
      </c>
      <c r="C10" s="240">
        <v>866166.68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35510.38+67314.5</f>
        <v>102824.88</v>
      </c>
      <c r="C12" s="240">
        <v>16196.5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1924758.7000000002</v>
      </c>
      <c r="C13" s="231">
        <f>SUM(C10:C12)</f>
        <v>882363.18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694475.45</v>
      </c>
      <c r="C18" s="229">
        <f>'DOE25'!G198+'DOE25'!G216+'DOE25'!G234+'DOE25'!G277+'DOE25'!G296+'DOE25'!G315</f>
        <v>260888.55</v>
      </c>
    </row>
    <row r="19" spans="1:3" x14ac:dyDescent="0.2">
      <c r="A19" t="s">
        <v>779</v>
      </c>
      <c r="B19" s="240">
        <f>248284.5+59160</f>
        <v>307444.5</v>
      </c>
      <c r="C19" s="240">
        <f>33812.53+23933.31+43474.42+1190.68+1500+2000+333.33</f>
        <v>106244.26999999999</v>
      </c>
    </row>
    <row r="20" spans="1:3" x14ac:dyDescent="0.2">
      <c r="A20" t="s">
        <v>780</v>
      </c>
      <c r="B20" s="240">
        <v>342464.76</v>
      </c>
      <c r="C20" s="240">
        <v>142969.26</v>
      </c>
    </row>
    <row r="21" spans="1:3" x14ac:dyDescent="0.2">
      <c r="A21" t="s">
        <v>781</v>
      </c>
      <c r="B21" s="240">
        <f>16968+8055+19543.19</f>
        <v>44566.19</v>
      </c>
      <c r="C21" s="240">
        <f>9715.25+1298.12+27.79+17.65+616.21</f>
        <v>11675.02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694475.45</v>
      </c>
      <c r="C22" s="231">
        <f>SUM(C19:C21)</f>
        <v>260888.55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29100</v>
      </c>
      <c r="C36" s="235">
        <f>'DOE25'!G200+'DOE25'!G218+'DOE25'!G236+'DOE25'!G279+'DOE25'!G298+'DOE25'!G317</f>
        <v>4173.18</v>
      </c>
    </row>
    <row r="37" spans="1:3" x14ac:dyDescent="0.2">
      <c r="A37" t="s">
        <v>779</v>
      </c>
      <c r="B37" s="240">
        <v>13750</v>
      </c>
      <c r="C37" s="240">
        <v>2998.89</v>
      </c>
    </row>
    <row r="38" spans="1:3" x14ac:dyDescent="0.2">
      <c r="A38" t="s">
        <v>780</v>
      </c>
      <c r="B38" s="240">
        <v>6000</v>
      </c>
      <c r="C38" s="240">
        <v>459.01</v>
      </c>
    </row>
    <row r="39" spans="1:3" x14ac:dyDescent="0.2">
      <c r="A39" t="s">
        <v>781</v>
      </c>
      <c r="B39" s="240">
        <v>9350</v>
      </c>
      <c r="C39" s="240">
        <v>715.28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29100</v>
      </c>
      <c r="C40" s="231">
        <f>SUM(C37:C39)</f>
        <v>4173.1799999999994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Nottingham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7065997.25</v>
      </c>
      <c r="D5" s="20">
        <f>SUM('DOE25'!L197:L200)+SUM('DOE25'!L215:L218)+SUM('DOE25'!L233:L236)-F5-G5</f>
        <v>7063746.3700000001</v>
      </c>
      <c r="E5" s="243"/>
      <c r="F5" s="255">
        <f>SUM('DOE25'!J197:J200)+SUM('DOE25'!J215:J218)+SUM('DOE25'!J233:J236)</f>
        <v>752.88</v>
      </c>
      <c r="G5" s="53">
        <f>SUM('DOE25'!K197:K200)+SUM('DOE25'!K215:K218)+SUM('DOE25'!K233:K236)</f>
        <v>1498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574351.99000000011</v>
      </c>
      <c r="D6" s="20">
        <f>'DOE25'!L202+'DOE25'!L220+'DOE25'!L238-F6-G6</f>
        <v>574351.99000000011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267724.54000000004</v>
      </c>
      <c r="D7" s="20">
        <f>'DOE25'!L203+'DOE25'!L221+'DOE25'!L239-F7-G7</f>
        <v>249624.49000000005</v>
      </c>
      <c r="E7" s="243"/>
      <c r="F7" s="255">
        <f>'DOE25'!J203+'DOE25'!J221+'DOE25'!J239</f>
        <v>18100.05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298148.12000000005</v>
      </c>
      <c r="D8" s="243"/>
      <c r="E8" s="20">
        <f>'DOE25'!L204+'DOE25'!L222+'DOE25'!L240-F8-G8-D9-D11</f>
        <v>294581.30000000005</v>
      </c>
      <c r="F8" s="255">
        <f>'DOE25'!J204+'DOE25'!J222+'DOE25'!J240</f>
        <v>0</v>
      </c>
      <c r="G8" s="53">
        <f>'DOE25'!K204+'DOE25'!K222+'DOE25'!K240</f>
        <v>3566.8199999999997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38032.410000000003</v>
      </c>
      <c r="D9" s="244">
        <f>49032.41-11000</f>
        <v>38032.410000000003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11000</v>
      </c>
      <c r="D10" s="243"/>
      <c r="E10" s="244">
        <v>11000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71180.72</v>
      </c>
      <c r="D11" s="244">
        <v>71180.72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474394.52999999997</v>
      </c>
      <c r="D12" s="20">
        <f>'DOE25'!L205+'DOE25'!L223+'DOE25'!L241-F12-G12</f>
        <v>472924.52999999997</v>
      </c>
      <c r="E12" s="243"/>
      <c r="F12" s="255">
        <f>'DOE25'!J205+'DOE25'!J223+'DOE25'!J241</f>
        <v>0</v>
      </c>
      <c r="G12" s="53">
        <f>'DOE25'!K205+'DOE25'!K223+'DOE25'!K241</f>
        <v>1470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51687.460000000006</v>
      </c>
      <c r="D13" s="243"/>
      <c r="E13" s="20">
        <f>'DOE25'!L206+'DOE25'!L224+'DOE25'!L242-F13-G13</f>
        <v>51687.460000000006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413679.54</v>
      </c>
      <c r="D14" s="20">
        <f>'DOE25'!L207+'DOE25'!L225+'DOE25'!L243-F14-G14</f>
        <v>403119.82999999996</v>
      </c>
      <c r="E14" s="243"/>
      <c r="F14" s="255">
        <f>'DOE25'!J207+'DOE25'!J225+'DOE25'!J243</f>
        <v>10559.71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770864.27</v>
      </c>
      <c r="D15" s="20">
        <f>'DOE25'!L208+'DOE25'!L226+'DOE25'!L244-F15-G15</f>
        <v>770864.27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22425.7</v>
      </c>
      <c r="D22" s="243"/>
      <c r="E22" s="243"/>
      <c r="F22" s="255">
        <f>'DOE25'!L255+'DOE25'!L336</f>
        <v>22425.7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125486.37000000001</v>
      </c>
      <c r="D29" s="20">
        <f>'DOE25'!L358+'DOE25'!L359+'DOE25'!L360-'DOE25'!I367-F29-G29</f>
        <v>125486.37000000001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9769330.9799999986</v>
      </c>
      <c r="E33" s="246">
        <f>SUM(E5:E31)</f>
        <v>357268.76000000007</v>
      </c>
      <c r="F33" s="246">
        <f>SUM(F5:F31)</f>
        <v>51838.34</v>
      </c>
      <c r="G33" s="246">
        <f>SUM(G5:G31)</f>
        <v>6534.82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357268.76000000007</v>
      </c>
      <c r="E35" s="249"/>
    </row>
    <row r="36" spans="2:8" ht="12" thickTop="1" x14ac:dyDescent="0.2">
      <c r="B36" t="s">
        <v>815</v>
      </c>
      <c r="D36" s="20">
        <f>D33</f>
        <v>9769330.9799999986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1028357.04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104040.62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12388.01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4186.59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49394.83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3441.75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1077751.8700000001</v>
      </c>
      <c r="D18" s="41">
        <f>SUM(D8:D17)</f>
        <v>20016.349999999999</v>
      </c>
      <c r="E18" s="41">
        <f>SUM(E8:E17)</f>
        <v>0</v>
      </c>
      <c r="F18" s="41">
        <f>SUM(F8:F17)</f>
        <v>0</v>
      </c>
      <c r="G18" s="41">
        <f>SUM(G8:G17)</f>
        <v>104040.62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12388.01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260557.40999999997</v>
      </c>
      <c r="D23" s="95">
        <f>'DOE25'!G24</f>
        <v>16468.73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191152.06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105.87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464097.48</v>
      </c>
      <c r="D31" s="41">
        <f>SUM(D21:D30)</f>
        <v>16574.599999999999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3441.75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104040.62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573654.39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613654.39</v>
      </c>
      <c r="D50" s="41">
        <f>SUM(D34:D49)</f>
        <v>3441.75</v>
      </c>
      <c r="E50" s="41">
        <f>SUM(E34:E49)</f>
        <v>0</v>
      </c>
      <c r="F50" s="41">
        <f>SUM(F34:F49)</f>
        <v>0</v>
      </c>
      <c r="G50" s="41">
        <f>SUM(G34:G49)</f>
        <v>104040.62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1077751.8700000001</v>
      </c>
      <c r="D51" s="41">
        <f>D50+D31</f>
        <v>20016.349999999999</v>
      </c>
      <c r="E51" s="41">
        <f>E50+E31</f>
        <v>0</v>
      </c>
      <c r="F51" s="41">
        <f>F50+F31</f>
        <v>0</v>
      </c>
      <c r="G51" s="41">
        <f>G50+G31</f>
        <v>104040.62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7430535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284681.83999999997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47.29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154.30000000000001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98352.33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87856.42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372585.54999999993</v>
      </c>
      <c r="D62" s="130">
        <f>SUM(D57:D61)</f>
        <v>98352.33</v>
      </c>
      <c r="E62" s="130">
        <f>SUM(E57:E61)</f>
        <v>0</v>
      </c>
      <c r="F62" s="130">
        <f>SUM(F57:F61)</f>
        <v>0</v>
      </c>
      <c r="G62" s="130">
        <f>SUM(G57:G61)</f>
        <v>154.30000000000001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7803120.5499999998</v>
      </c>
      <c r="D63" s="22">
        <f>D56+D62</f>
        <v>98352.33</v>
      </c>
      <c r="E63" s="22">
        <f>E56+E62</f>
        <v>0</v>
      </c>
      <c r="F63" s="22">
        <f>F56+F62</f>
        <v>0</v>
      </c>
      <c r="G63" s="22">
        <f>G56+G62</f>
        <v>154.30000000000001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1261143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1356701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2617844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60536.88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2766.06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60536.88</v>
      </c>
      <c r="D78" s="130">
        <f>SUM(D72:D77)</f>
        <v>2766.06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2678380.88</v>
      </c>
      <c r="D81" s="130">
        <f>SUM(D79:D80)+D78+D70</f>
        <v>2766.06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57312.54</v>
      </c>
      <c r="D88" s="95">
        <f>SUM('DOE25'!G153:G161)</f>
        <v>49174.32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57312.54</v>
      </c>
      <c r="D91" s="131">
        <f>SUM(D85:D90)</f>
        <v>49174.32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28912.53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28912.53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10538813.969999999</v>
      </c>
      <c r="D104" s="86">
        <f>D63+D81+D91+D103</f>
        <v>179205.24</v>
      </c>
      <c r="E104" s="86">
        <f>E63+E81+E91+E103</f>
        <v>0</v>
      </c>
      <c r="F104" s="86">
        <f>F63+F81+F91+F103</f>
        <v>0</v>
      </c>
      <c r="G104" s="86">
        <f>G63+G81+G103</f>
        <v>30154.3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5668314.6899999995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1356903.18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40779.379999999997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7065997.2499999991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574351.99000000011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267724.54000000004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407361.25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474394.52999999997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51687.460000000006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413679.54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770864.27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180452.29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2960063.58</v>
      </c>
      <c r="D128" s="86">
        <f>SUM(D118:D127)</f>
        <v>180452.29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22425.7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28912.53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30154.3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-154.29999999999927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81338.23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10107399.059999999</v>
      </c>
      <c r="D145" s="86">
        <f>(D115+D128+D144)</f>
        <v>180452.29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Nottingham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12379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12379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5668315</v>
      </c>
      <c r="D10" s="182">
        <f>ROUND((C10/$C$28)*100,1)</f>
        <v>56.1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1356903</v>
      </c>
      <c r="D11" s="182">
        <f>ROUND((C11/$C$28)*100,1)</f>
        <v>13.4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40779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574352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267725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407361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474395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51687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413680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770864</v>
      </c>
      <c r="D21" s="182">
        <f t="shared" si="0"/>
        <v>7.6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82099.67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10108160.67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22426</v>
      </c>
    </row>
    <row r="30" spans="1:4" x14ac:dyDescent="0.2">
      <c r="B30" s="187" t="s">
        <v>729</v>
      </c>
      <c r="C30" s="180">
        <f>SUM(C28:C29)</f>
        <v>10130586.67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7430535</v>
      </c>
      <c r="D35" s="182">
        <f t="shared" ref="D35:D40" si="1">ROUND((C35/$C$41)*100,1)</f>
        <v>70.2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372739.84999999963</v>
      </c>
      <c r="D36" s="182">
        <f t="shared" si="1"/>
        <v>3.5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2617844</v>
      </c>
      <c r="D37" s="182">
        <f t="shared" si="1"/>
        <v>24.7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63303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106487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10590908.85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7" sqref="A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Nottingham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72">
        <v>2</v>
      </c>
      <c r="B4" s="273">
        <v>5</v>
      </c>
      <c r="C4" s="283" t="s">
        <v>912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2"/>
      <c r="B5" s="273"/>
      <c r="C5" s="283" t="s">
        <v>913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301">
        <v>3</v>
      </c>
      <c r="B7" s="302">
        <v>24</v>
      </c>
      <c r="C7" s="283" t="s">
        <v>914</v>
      </c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70A" sheet="1" objects="1" scenarios="1"/>
  <mergeCells count="223">
    <mergeCell ref="C7:M7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P40:Z40"/>
    <mergeCell ref="AC40:AM40"/>
    <mergeCell ref="DC40:DM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EP40:EZ40"/>
    <mergeCell ref="EC39:EM39"/>
    <mergeCell ref="GC39:GM39"/>
    <mergeCell ref="FP39:FZ39"/>
    <mergeCell ref="DC38:DM38"/>
    <mergeCell ref="DP38:DZ38"/>
    <mergeCell ref="EC38:EM38"/>
    <mergeCell ref="BP38:BZ38"/>
    <mergeCell ref="CC38:CM38"/>
    <mergeCell ref="P38:Z38"/>
    <mergeCell ref="AC38:AM38"/>
    <mergeCell ref="AP38:AZ38"/>
    <mergeCell ref="FP38:FZ38"/>
    <mergeCell ref="GC38:GM38"/>
    <mergeCell ref="CP38:CZ38"/>
    <mergeCell ref="BC38:BM38"/>
    <mergeCell ref="AP39:AZ39"/>
    <mergeCell ref="P39:Z39"/>
    <mergeCell ref="AC39:AM39"/>
    <mergeCell ref="DP39:DZ39"/>
    <mergeCell ref="FP31:FZ31"/>
    <mergeCell ref="GC31:GM31"/>
    <mergeCell ref="GP31:GZ31"/>
    <mergeCell ref="EC32:EM32"/>
    <mergeCell ref="IC31:IM31"/>
    <mergeCell ref="CC30:CM30"/>
    <mergeCell ref="IP39:IV39"/>
    <mergeCell ref="EP39:EZ39"/>
    <mergeCell ref="FC39:FM39"/>
    <mergeCell ref="IC32:IM32"/>
    <mergeCell ref="IP32:IV32"/>
    <mergeCell ref="EP38:EZ38"/>
    <mergeCell ref="FC38:FM38"/>
    <mergeCell ref="HP39:HZ39"/>
    <mergeCell ref="GP39:GZ39"/>
    <mergeCell ref="IP38:IV38"/>
    <mergeCell ref="EP32:EZ32"/>
    <mergeCell ref="FC32:FM32"/>
    <mergeCell ref="IC39:IM39"/>
    <mergeCell ref="IC38:IM38"/>
    <mergeCell ref="HC39:HM39"/>
    <mergeCell ref="HP38:HZ38"/>
    <mergeCell ref="GP38:GZ38"/>
    <mergeCell ref="HC38:HM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HP29:HZ29"/>
    <mergeCell ref="IC29:IM29"/>
    <mergeCell ref="FP29:FZ29"/>
    <mergeCell ref="GC29:GM29"/>
    <mergeCell ref="GP29:GZ29"/>
    <mergeCell ref="HC29:HM29"/>
    <mergeCell ref="EC29:EM29"/>
    <mergeCell ref="EP29:EZ29"/>
    <mergeCell ref="IP30:IV30"/>
    <mergeCell ref="AP40:AZ40"/>
    <mergeCell ref="BC31:BM31"/>
    <mergeCell ref="BC32:BM32"/>
    <mergeCell ref="BC39:BM39"/>
    <mergeCell ref="BP31:BZ31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CP31:CZ31"/>
    <mergeCell ref="HP32:HZ32"/>
    <mergeCell ref="IC30:IM30"/>
    <mergeCell ref="HC30:HM30"/>
    <mergeCell ref="DC31:DM31"/>
    <mergeCell ref="DP31:DZ31"/>
    <mergeCell ref="EC31:EM31"/>
    <mergeCell ref="EP31:EZ31"/>
    <mergeCell ref="GP32:GZ32"/>
    <mergeCell ref="HC32:HM32"/>
    <mergeCell ref="HP31:HZ31"/>
    <mergeCell ref="HP30:HZ30"/>
    <mergeCell ref="FC30:FM30"/>
    <mergeCell ref="FP30:FZ30"/>
    <mergeCell ref="FC31:FM31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4:M4"/>
    <mergeCell ref="C5:M5"/>
    <mergeCell ref="A2:E2"/>
    <mergeCell ref="C6:M6"/>
    <mergeCell ref="C8:M8"/>
    <mergeCell ref="C13:M13"/>
    <mergeCell ref="C9:M9"/>
    <mergeCell ref="C10:M10"/>
    <mergeCell ref="C11:M11"/>
    <mergeCell ref="C12:M12"/>
    <mergeCell ref="DP29:DZ29"/>
    <mergeCell ref="C14:M14"/>
    <mergeCell ref="C15:M15"/>
    <mergeCell ref="C16:M16"/>
    <mergeCell ref="BC30:BM30"/>
    <mergeCell ref="BP30:BZ30"/>
    <mergeCell ref="DC30:DM30"/>
    <mergeCell ref="DP30:DZ30"/>
    <mergeCell ref="DC29:DM29"/>
    <mergeCell ref="C30:M30"/>
    <mergeCell ref="C21:M21"/>
    <mergeCell ref="CC29:CM29"/>
    <mergeCell ref="P31:Z31"/>
    <mergeCell ref="AC31:AM31"/>
    <mergeCell ref="AP31:AZ31"/>
    <mergeCell ref="CC31:CM31"/>
    <mergeCell ref="C17:M17"/>
    <mergeCell ref="C18:M18"/>
    <mergeCell ref="C19:M19"/>
    <mergeCell ref="C20:M20"/>
    <mergeCell ref="AP29:AZ29"/>
    <mergeCell ref="C22:M22"/>
    <mergeCell ref="C23:M23"/>
    <mergeCell ref="C24:M24"/>
    <mergeCell ref="C29:M29"/>
    <mergeCell ref="C25:M25"/>
    <mergeCell ref="C26:M26"/>
    <mergeCell ref="C27:M27"/>
    <mergeCell ref="C28:M28"/>
    <mergeCell ref="P32:Z32"/>
    <mergeCell ref="DC32:DM32"/>
    <mergeCell ref="C39:M39"/>
    <mergeCell ref="C40:M40"/>
    <mergeCell ref="C34:M34"/>
    <mergeCell ref="C35:M35"/>
    <mergeCell ref="C36:M36"/>
    <mergeCell ref="C38:M38"/>
    <mergeCell ref="CC32:CM32"/>
    <mergeCell ref="C32:M32"/>
    <mergeCell ref="AC32:AM32"/>
    <mergeCell ref="AP32:AZ32"/>
    <mergeCell ref="BP39:BZ39"/>
    <mergeCell ref="CC39:CM39"/>
    <mergeCell ref="CP39:CZ39"/>
    <mergeCell ref="DC39:DM39"/>
    <mergeCell ref="BP32:BZ32"/>
    <mergeCell ref="C52:M52"/>
    <mergeCell ref="C50:M50"/>
    <mergeCell ref="C47:M47"/>
    <mergeCell ref="C48:M48"/>
    <mergeCell ref="C49:M49"/>
    <mergeCell ref="C51:M51"/>
    <mergeCell ref="C31:M31"/>
    <mergeCell ref="C90:M90"/>
    <mergeCell ref="C63:M63"/>
    <mergeCell ref="C64:M64"/>
    <mergeCell ref="C65:M65"/>
    <mergeCell ref="C85:M85"/>
    <mergeCell ref="C86:M86"/>
    <mergeCell ref="C87:M87"/>
    <mergeCell ref="C88:M88"/>
    <mergeCell ref="C79:M79"/>
    <mergeCell ref="C80:M80"/>
    <mergeCell ref="C83:M83"/>
    <mergeCell ref="C84:M84"/>
    <mergeCell ref="C81:M81"/>
    <mergeCell ref="C82:M82"/>
    <mergeCell ref="C89:M89"/>
    <mergeCell ref="C53:M53"/>
    <mergeCell ref="C54:M54"/>
    <mergeCell ref="C55:M55"/>
    <mergeCell ref="C75:M75"/>
    <mergeCell ref="C67:M67"/>
    <mergeCell ref="C61:M61"/>
    <mergeCell ref="C77:M77"/>
    <mergeCell ref="C78:M78"/>
    <mergeCell ref="C76:M76"/>
    <mergeCell ref="A72:E72"/>
    <mergeCell ref="C73:M73"/>
    <mergeCell ref="C74:M74"/>
    <mergeCell ref="C68:M68"/>
    <mergeCell ref="C69:M69"/>
    <mergeCell ref="C56:M56"/>
    <mergeCell ref="C66:M66"/>
    <mergeCell ref="C70:M70"/>
    <mergeCell ref="C57:M57"/>
    <mergeCell ref="C59:M59"/>
    <mergeCell ref="C60:M60"/>
    <mergeCell ref="C58:M58"/>
    <mergeCell ref="C62:M6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2014-10-30T17:03:35Z</cp:lastPrinted>
  <dcterms:created xsi:type="dcterms:W3CDTF">1997-12-04T19:04:30Z</dcterms:created>
  <dcterms:modified xsi:type="dcterms:W3CDTF">2014-10-30T17:21:03Z</dcterms:modified>
</cp:coreProperties>
</file>