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10170" yWindow="105" windowWidth="11490" windowHeight="97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5" i="1" l="1"/>
  <c r="F465" i="1"/>
  <c r="H255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E51" i="2" s="1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L221" i="1"/>
  <c r="L239" i="1"/>
  <c r="F12" i="13"/>
  <c r="G12" i="13"/>
  <c r="D12" i="13" s="1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38" i="1" s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 s="1"/>
  <c r="L612" i="1"/>
  <c r="G663" i="1" s="1"/>
  <c r="L611" i="1"/>
  <c r="C40" i="10"/>
  <c r="F60" i="1"/>
  <c r="G60" i="1"/>
  <c r="D56" i="2" s="1"/>
  <c r="D63" i="2" s="1"/>
  <c r="D104" i="2" s="1"/>
  <c r="H60" i="1"/>
  <c r="I60" i="1"/>
  <c r="F79" i="1"/>
  <c r="F94" i="1"/>
  <c r="F111" i="1"/>
  <c r="G111" i="1"/>
  <c r="H79" i="1"/>
  <c r="H94" i="1"/>
  <c r="H111" i="1"/>
  <c r="I111" i="1"/>
  <c r="J111" i="1"/>
  <c r="J112" i="1" s="1"/>
  <c r="J193" i="1" s="1"/>
  <c r="F121" i="1"/>
  <c r="F136" i="1"/>
  <c r="G121" i="1"/>
  <c r="G136" i="1"/>
  <c r="H121" i="1"/>
  <c r="H136" i="1"/>
  <c r="I121" i="1"/>
  <c r="I136" i="1"/>
  <c r="I140" i="1" s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L250" i="1"/>
  <c r="L332" i="1"/>
  <c r="L254" i="1"/>
  <c r="L268" i="1"/>
  <c r="L269" i="1"/>
  <c r="L349" i="1"/>
  <c r="L350" i="1"/>
  <c r="I665" i="1"/>
  <c r="I670" i="1"/>
  <c r="G661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G552" i="1" s="1"/>
  <c r="L527" i="1"/>
  <c r="G550" i="1"/>
  <c r="L528" i="1"/>
  <c r="G551" i="1"/>
  <c r="L531" i="1"/>
  <c r="H549" i="1"/>
  <c r="L532" i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L543" i="1"/>
  <c r="J551" i="1" s="1"/>
  <c r="E132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/>
  <c r="G9" i="2" s="1"/>
  <c r="C10" i="2"/>
  <c r="C11" i="2"/>
  <c r="D11" i="2"/>
  <c r="E11" i="2"/>
  <c r="E18" i="2" s="1"/>
  <c r="F11" i="2"/>
  <c r="I441" i="1"/>
  <c r="J12" i="1" s="1"/>
  <c r="G11" i="2"/>
  <c r="C12" i="2"/>
  <c r="D12" i="2"/>
  <c r="E12" i="2"/>
  <c r="F12" i="2"/>
  <c r="F18" i="2" s="1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D31" i="2" s="1"/>
  <c r="E22" i="2"/>
  <c r="F22" i="2"/>
  <c r="I449" i="1"/>
  <c r="J23" i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I457" i="1"/>
  <c r="I459" i="1"/>
  <c r="J48" i="1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/>
  <c r="E69" i="2"/>
  <c r="E70" i="2"/>
  <c r="F69" i="2"/>
  <c r="F70" i="2"/>
  <c r="G69" i="2"/>
  <c r="G70" i="2"/>
  <c r="C72" i="2"/>
  <c r="F72" i="2"/>
  <c r="C73" i="2"/>
  <c r="F73" i="2"/>
  <c r="F78" i="2" s="1"/>
  <c r="C74" i="2"/>
  <c r="C75" i="2"/>
  <c r="C76" i="2"/>
  <c r="E76" i="2"/>
  <c r="E78" i="2" s="1"/>
  <c r="F76" i="2"/>
  <c r="C77" i="2"/>
  <c r="D77" i="2"/>
  <c r="D78" i="2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C112" i="2"/>
  <c r="E112" i="2"/>
  <c r="C113" i="2"/>
  <c r="E113" i="2"/>
  <c r="E114" i="2"/>
  <c r="D115" i="2"/>
  <c r="F115" i="2"/>
  <c r="G115" i="2"/>
  <c r="C120" i="2"/>
  <c r="E120" i="2"/>
  <c r="C121" i="2"/>
  <c r="E122" i="2"/>
  <c r="D127" i="2"/>
  <c r="D128" i="2" s="1"/>
  <c r="D145" i="2" s="1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 s="1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H19" i="1"/>
  <c r="G619" i="1"/>
  <c r="I19" i="1"/>
  <c r="F32" i="1"/>
  <c r="G32" i="1"/>
  <c r="G52" i="1"/>
  <c r="H618" i="1" s="1"/>
  <c r="H32" i="1"/>
  <c r="I32" i="1"/>
  <c r="H51" i="1"/>
  <c r="H52" i="1"/>
  <c r="H619" i="1" s="1"/>
  <c r="I51" i="1"/>
  <c r="F177" i="1"/>
  <c r="I177" i="1"/>
  <c r="F183" i="1"/>
  <c r="G183" i="1"/>
  <c r="H183" i="1"/>
  <c r="I183" i="1"/>
  <c r="J183" i="1"/>
  <c r="J192" i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G434" i="1" s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H461" i="1" s="1"/>
  <c r="H641" i="1" s="1"/>
  <c r="J641" i="1" s="1"/>
  <c r="F460" i="1"/>
  <c r="G460" i="1"/>
  <c r="H460" i="1"/>
  <c r="F461" i="1"/>
  <c r="G461" i="1"/>
  <c r="F470" i="1"/>
  <c r="G470" i="1"/>
  <c r="H470" i="1"/>
  <c r="H476" i="1" s="1"/>
  <c r="I470" i="1"/>
  <c r="J470" i="1"/>
  <c r="F474" i="1"/>
  <c r="G474" i="1"/>
  <c r="G476" i="1" s="1"/>
  <c r="H623" i="1" s="1"/>
  <c r="H474" i="1"/>
  <c r="I474" i="1"/>
  <c r="I476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F545" i="1" s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G545" i="1" s="1"/>
  <c r="H544" i="1"/>
  <c r="H545" i="1" s="1"/>
  <c r="I544" i="1"/>
  <c r="J544" i="1"/>
  <c r="K544" i="1"/>
  <c r="L557" i="1"/>
  <c r="L560" i="1" s="1"/>
  <c r="L571" i="1" s="1"/>
  <c r="L558" i="1"/>
  <c r="L559" i="1"/>
  <c r="F560" i="1"/>
  <c r="G560" i="1"/>
  <c r="G571" i="1" s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598" i="1"/>
  <c r="H651" i="1" s="1"/>
  <c r="J651" i="1" s="1"/>
  <c r="K602" i="1"/>
  <c r="K603" i="1"/>
  <c r="K605" i="1" s="1"/>
  <c r="G648" i="1" s="1"/>
  <c r="J648" i="1" s="1"/>
  <c r="K604" i="1"/>
  <c r="H605" i="1"/>
  <c r="I605" i="1"/>
  <c r="J605" i="1"/>
  <c r="F614" i="1"/>
  <c r="G614" i="1"/>
  <c r="H614" i="1"/>
  <c r="I614" i="1"/>
  <c r="J614" i="1"/>
  <c r="K614" i="1"/>
  <c r="G618" i="1"/>
  <c r="J618" i="1" s="1"/>
  <c r="G620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J640" i="1" s="1"/>
  <c r="H640" i="1"/>
  <c r="G641" i="1"/>
  <c r="G643" i="1"/>
  <c r="H643" i="1"/>
  <c r="J643" i="1" s="1"/>
  <c r="G644" i="1"/>
  <c r="G645" i="1"/>
  <c r="J645" i="1" s="1"/>
  <c r="H645" i="1"/>
  <c r="H647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51" i="1"/>
  <c r="A31" i="12"/>
  <c r="A40" i="12"/>
  <c r="C12" i="13"/>
  <c r="D62" i="2"/>
  <c r="C18" i="13"/>
  <c r="D17" i="13"/>
  <c r="C17" i="13" s="1"/>
  <c r="D6" i="13"/>
  <c r="C6" i="13" s="1"/>
  <c r="E8" i="13"/>
  <c r="C8" i="13" s="1"/>
  <c r="C91" i="2"/>
  <c r="F81" i="2"/>
  <c r="C78" i="2"/>
  <c r="G157" i="2"/>
  <c r="G156" i="2"/>
  <c r="E103" i="2"/>
  <c r="E31" i="2"/>
  <c r="G62" i="2"/>
  <c r="E81" i="2"/>
  <c r="L427" i="1"/>
  <c r="H112" i="1"/>
  <c r="J571" i="1"/>
  <c r="L433" i="1"/>
  <c r="I169" i="1"/>
  <c r="J476" i="1"/>
  <c r="H626" i="1"/>
  <c r="H624" i="1"/>
  <c r="H625" i="1"/>
  <c r="G338" i="1"/>
  <c r="G352" i="1" s="1"/>
  <c r="F169" i="1"/>
  <c r="J140" i="1"/>
  <c r="K545" i="1"/>
  <c r="H140" i="1"/>
  <c r="L393" i="1"/>
  <c r="C138" i="2" s="1"/>
  <c r="A13" i="12"/>
  <c r="F22" i="13"/>
  <c r="C22" i="13"/>
  <c r="H25" i="13"/>
  <c r="C25" i="13" s="1"/>
  <c r="H571" i="1"/>
  <c r="J545" i="1"/>
  <c r="H338" i="1"/>
  <c r="H352" i="1"/>
  <c r="F338" i="1"/>
  <c r="F352" i="1"/>
  <c r="H192" i="1"/>
  <c r="D5" i="13"/>
  <c r="C5" i="13" s="1"/>
  <c r="E16" i="13"/>
  <c r="L570" i="1"/>
  <c r="L565" i="1"/>
  <c r="C16" i="13"/>
  <c r="L337" i="1"/>
  <c r="F62" i="2"/>
  <c r="C23" i="10"/>
  <c r="G163" i="2"/>
  <c r="G162" i="2"/>
  <c r="G158" i="2"/>
  <c r="G103" i="2"/>
  <c r="F103" i="2"/>
  <c r="C103" i="2"/>
  <c r="F91" i="2"/>
  <c r="C50" i="2"/>
  <c r="C51" i="2" s="1"/>
  <c r="F31" i="2"/>
  <c r="C31" i="2"/>
  <c r="F50" i="2"/>
  <c r="F51" i="2" s="1"/>
  <c r="C24" i="10"/>
  <c r="L407" i="1"/>
  <c r="C140" i="2" s="1"/>
  <c r="E91" i="2"/>
  <c r="J654" i="1"/>
  <c r="J653" i="1"/>
  <c r="G21" i="2"/>
  <c r="L434" i="1"/>
  <c r="G638" i="1" s="1"/>
  <c r="J638" i="1" s="1"/>
  <c r="J434" i="1"/>
  <c r="F434" i="1"/>
  <c r="K434" i="1"/>
  <c r="G134" i="2"/>
  <c r="G144" i="2"/>
  <c r="G145" i="2" s="1"/>
  <c r="G169" i="1"/>
  <c r="C39" i="10" s="1"/>
  <c r="G140" i="1"/>
  <c r="F140" i="1"/>
  <c r="G42" i="2"/>
  <c r="H434" i="1"/>
  <c r="D103" i="2"/>
  <c r="J652" i="1"/>
  <c r="I434" i="1"/>
  <c r="G47" i="2"/>
  <c r="J634" i="1"/>
  <c r="L362" i="1"/>
  <c r="G635" i="1" s="1"/>
  <c r="J635" i="1" s="1"/>
  <c r="J623" i="1"/>
  <c r="F476" i="1"/>
  <c r="H622" i="1"/>
  <c r="C131" i="2"/>
  <c r="H33" i="13"/>
  <c r="J257" i="1"/>
  <c r="H648" i="1" s="1"/>
  <c r="J271" i="1"/>
  <c r="C119" i="2"/>
  <c r="F257" i="1"/>
  <c r="F271" i="1" s="1"/>
  <c r="D7" i="13"/>
  <c r="C7" i="13" s="1"/>
  <c r="H257" i="1"/>
  <c r="H271" i="1" s="1"/>
  <c r="C15" i="10"/>
  <c r="L229" i="1"/>
  <c r="L247" i="1"/>
  <c r="G257" i="1"/>
  <c r="G271" i="1"/>
  <c r="I257" i="1"/>
  <c r="I271" i="1"/>
  <c r="K257" i="1"/>
  <c r="K271" i="1"/>
  <c r="F31" i="13"/>
  <c r="F33" i="13" s="1"/>
  <c r="C20" i="10"/>
  <c r="C16" i="10"/>
  <c r="E123" i="2"/>
  <c r="E119" i="2"/>
  <c r="J644" i="1"/>
  <c r="C38" i="10"/>
  <c r="C81" i="2"/>
  <c r="F52" i="1"/>
  <c r="H617" i="1" s="1"/>
  <c r="J19" i="1"/>
  <c r="G621" i="1" s="1"/>
  <c r="G624" i="1"/>
  <c r="J624" i="1"/>
  <c r="J619" i="1"/>
  <c r="C27" i="10"/>
  <c r="J352" i="1"/>
  <c r="C123" i="2"/>
  <c r="G160" i="2"/>
  <c r="K503" i="1"/>
  <c r="K500" i="1"/>
  <c r="K598" i="1"/>
  <c r="G647" i="1" s="1"/>
  <c r="J647" i="1" s="1"/>
  <c r="J650" i="1"/>
  <c r="G18" i="2" l="1"/>
  <c r="G631" i="1"/>
  <c r="J631" i="1" s="1"/>
  <c r="G646" i="1"/>
  <c r="I52" i="1"/>
  <c r="H620" i="1" s="1"/>
  <c r="J620" i="1" s="1"/>
  <c r="G625" i="1"/>
  <c r="J625" i="1" s="1"/>
  <c r="H550" i="1"/>
  <c r="L534" i="1"/>
  <c r="F112" i="1"/>
  <c r="F193" i="1" s="1"/>
  <c r="G627" i="1" s="1"/>
  <c r="J627" i="1" s="1"/>
  <c r="C58" i="2"/>
  <c r="C62" i="2" s="1"/>
  <c r="C63" i="2" s="1"/>
  <c r="C104" i="2" s="1"/>
  <c r="C12" i="10"/>
  <c r="E111" i="2"/>
  <c r="K338" i="1"/>
  <c r="K352" i="1" s="1"/>
  <c r="G31" i="13"/>
  <c r="G33" i="13" s="1"/>
  <c r="J617" i="1"/>
  <c r="K551" i="1"/>
  <c r="G660" i="1"/>
  <c r="G664" i="1" s="1"/>
  <c r="J622" i="1"/>
  <c r="I545" i="1"/>
  <c r="D50" i="2"/>
  <c r="D51" i="2" s="1"/>
  <c r="H552" i="1"/>
  <c r="G112" i="1"/>
  <c r="G193" i="1" s="1"/>
  <c r="G628" i="1" s="1"/>
  <c r="J628" i="1" s="1"/>
  <c r="G63" i="2"/>
  <c r="G104" i="2" s="1"/>
  <c r="L401" i="1"/>
  <c r="C139" i="2" s="1"/>
  <c r="E144" i="2"/>
  <c r="L211" i="1"/>
  <c r="C13" i="10"/>
  <c r="C17" i="10"/>
  <c r="C125" i="2"/>
  <c r="C19" i="10"/>
  <c r="C122" i="2"/>
  <c r="E13" i="13"/>
  <c r="L290" i="1"/>
  <c r="C35" i="10"/>
  <c r="I408" i="1"/>
  <c r="I192" i="1"/>
  <c r="G159" i="2"/>
  <c r="F63" i="2"/>
  <c r="F104" i="2" s="1"/>
  <c r="C18" i="2"/>
  <c r="J550" i="1"/>
  <c r="J552" i="1" s="1"/>
  <c r="L544" i="1"/>
  <c r="I112" i="1"/>
  <c r="L328" i="1"/>
  <c r="H660" i="1" s="1"/>
  <c r="H664" i="1" s="1"/>
  <c r="C10" i="10"/>
  <c r="E109" i="2"/>
  <c r="E115" i="2" s="1"/>
  <c r="E118" i="2"/>
  <c r="C124" i="2"/>
  <c r="D15" i="13"/>
  <c r="C15" i="13" s="1"/>
  <c r="F662" i="1"/>
  <c r="I662" i="1" s="1"/>
  <c r="G649" i="1"/>
  <c r="J649" i="1" s="1"/>
  <c r="D14" i="13"/>
  <c r="C14" i="13" s="1"/>
  <c r="H193" i="1"/>
  <c r="G629" i="1" s="1"/>
  <c r="J629" i="1" s="1"/>
  <c r="J639" i="1"/>
  <c r="L539" i="1"/>
  <c r="I446" i="1"/>
  <c r="G642" i="1" s="1"/>
  <c r="J642" i="1" s="1"/>
  <c r="E62" i="2"/>
  <c r="E63" i="2" s="1"/>
  <c r="E104" i="2" s="1"/>
  <c r="J37" i="1"/>
  <c r="I460" i="1"/>
  <c r="J31" i="1"/>
  <c r="I452" i="1"/>
  <c r="I461" i="1" s="1"/>
  <c r="H642" i="1" s="1"/>
  <c r="F549" i="1"/>
  <c r="L524" i="1"/>
  <c r="L382" i="1"/>
  <c r="G636" i="1" s="1"/>
  <c r="J636" i="1" s="1"/>
  <c r="F130" i="2"/>
  <c r="F144" i="2" s="1"/>
  <c r="F145" i="2" s="1"/>
  <c r="C29" i="10"/>
  <c r="C21" i="10"/>
  <c r="F663" i="1"/>
  <c r="I663" i="1" s="1"/>
  <c r="L614" i="1"/>
  <c r="C32" i="10"/>
  <c r="C18" i="10"/>
  <c r="E121" i="2"/>
  <c r="H661" i="1"/>
  <c r="D29" i="13"/>
  <c r="C29" i="13" s="1"/>
  <c r="F661" i="1"/>
  <c r="I661" i="1" s="1"/>
  <c r="C114" i="2"/>
  <c r="C115" i="2" s="1"/>
  <c r="D19" i="13"/>
  <c r="C19" i="13" s="1"/>
  <c r="C144" i="2" l="1"/>
  <c r="H672" i="1"/>
  <c r="C6" i="10" s="1"/>
  <c r="H667" i="1"/>
  <c r="D21" i="10"/>
  <c r="G30" i="2"/>
  <c r="G31" i="2" s="1"/>
  <c r="J32" i="1"/>
  <c r="G667" i="1"/>
  <c r="G672" i="1"/>
  <c r="C5" i="10" s="1"/>
  <c r="L545" i="1"/>
  <c r="E128" i="2"/>
  <c r="I193" i="1"/>
  <c r="G630" i="1" s="1"/>
  <c r="J630" i="1" s="1"/>
  <c r="C36" i="10"/>
  <c r="C128" i="2"/>
  <c r="C145" i="2" s="1"/>
  <c r="L408" i="1"/>
  <c r="C141" i="2"/>
  <c r="E33" i="13"/>
  <c r="D35" i="13" s="1"/>
  <c r="C13" i="13"/>
  <c r="K549" i="1"/>
  <c r="F552" i="1"/>
  <c r="J51" i="1"/>
  <c r="G36" i="2"/>
  <c r="G50" i="2" s="1"/>
  <c r="G51" i="2" s="1"/>
  <c r="E145" i="2"/>
  <c r="L338" i="1"/>
  <c r="L352" i="1" s="1"/>
  <c r="G633" i="1" s="1"/>
  <c r="J633" i="1" s="1"/>
  <c r="D31" i="13"/>
  <c r="C31" i="13" s="1"/>
  <c r="D19" i="10"/>
  <c r="L257" i="1"/>
  <c r="L271" i="1" s="1"/>
  <c r="G632" i="1" s="1"/>
  <c r="J632" i="1" s="1"/>
  <c r="F660" i="1"/>
  <c r="C28" i="10"/>
  <c r="D17" i="10" s="1"/>
  <c r="D10" i="10"/>
  <c r="D33" i="13"/>
  <c r="D36" i="13" s="1"/>
  <c r="K550" i="1"/>
  <c r="J52" i="1" l="1"/>
  <c r="H621" i="1" s="1"/>
  <c r="J621" i="1" s="1"/>
  <c r="G626" i="1"/>
  <c r="D13" i="10"/>
  <c r="D28" i="10" s="1"/>
  <c r="C41" i="10"/>
  <c r="D22" i="10"/>
  <c r="D27" i="10"/>
  <c r="D24" i="10"/>
  <c r="D16" i="10"/>
  <c r="D25" i="10"/>
  <c r="D23" i="10"/>
  <c r="C30" i="10"/>
  <c r="D15" i="10"/>
  <c r="D26" i="10"/>
  <c r="D11" i="10"/>
  <c r="D20" i="10"/>
  <c r="D12" i="10"/>
  <c r="F664" i="1"/>
  <c r="I660" i="1"/>
  <c r="I664" i="1" s="1"/>
  <c r="D18" i="10"/>
  <c r="H646" i="1"/>
  <c r="J646" i="1" s="1"/>
  <c r="G637" i="1"/>
  <c r="J637" i="1" s="1"/>
  <c r="K552" i="1"/>
  <c r="I672" i="1" l="1"/>
  <c r="C7" i="10" s="1"/>
  <c r="I667" i="1"/>
  <c r="J626" i="1"/>
  <c r="H656" i="1"/>
  <c r="F672" i="1"/>
  <c r="C4" i="10" s="1"/>
  <c r="F667" i="1"/>
  <c r="D40" i="10"/>
  <c r="D37" i="10"/>
  <c r="D39" i="10"/>
  <c r="D38" i="10"/>
  <c r="D35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<sst xmlns="http://schemas.openxmlformats.org/spreadsheetml/2006/main" count="3962" uniqueCount="920">
  <si>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</si>
  <si>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</si>
  <si>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</si>
  <si>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</si>
  <si>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</si>
  <si>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</si>
  <si>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</si>
  <si>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</si>
  <si>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</si>
  <si>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</si>
  <si>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</si>
  <si>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</si>
  <si>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</si>
  <si>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</si>
  <si>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</si>
  <si>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</si>
  <si>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</si>
  <si>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</si>
  <si>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</si>
  <si>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</si>
  <si>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</si>
  <si>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</si>
  <si>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</si>
  <si>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</si>
  <si>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</si>
  <si>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</si>
  <si>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</si>
  <si>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</si>
  <si>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</si>
  <si>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</si>
  <si>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</si>
  <si>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</si>
  <si>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</si>
  <si>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</si>
  <si>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</si>
  <si>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</si>
  <si>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</si>
  <si>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</si>
  <si>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</si>
  <si>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</si>
  <si>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</si>
  <si>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</si>
  <si>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</si>
  <si>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</si>
  <si>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</si>
  <si>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</si>
  <si>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</si>
  <si>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</si>
  <si>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</si>
  <si>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</si>
  <si>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</si>
  <si>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</si>
  <si>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</si>
  <si>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</si>
  <si>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</si>
  <si>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</si>
  <si>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</si>
  <si>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</si>
  <si>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</si>
  <si>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</si>
  <si>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</si>
  <si>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</si>
  <si>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</si>
  <si>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</si>
  <si>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</si>
  <si>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</si>
  <si>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</si>
  <si>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</si>
  <si>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</si>
  <si>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</si>
  <si>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</si>
  <si>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</si>
  <si>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</si>
  <si>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</si>
  <si>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</si>
  <si>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</si>
  <si>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</si>
  <si>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</si>
  <si>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</si>
  <si>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</si>
  <si>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</si>
  <si>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</si>
  <si>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</si>
  <si>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</si>
  <si>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</si>
  <si>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</si>
  <si>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</si>
  <si>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</si>
  <si>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</si>
  <si>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</si>
  <si>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</si>
  <si>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</si>
  <si>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</si>
  <si>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</si>
  <si>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</si>
  <si>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</si>
  <si>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</si>
  <si>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</si>
  <si>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</si>
  <si>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</si>
  <si>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</si>
  <si>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</si>
  <si>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</si>
  <si>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</si>
  <si>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</si>
  <si>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</si>
  <si>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</si>
  <si>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</si>
  <si>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</si>
  <si>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</si>
  <si>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</si>
  <si>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</si>
  <si>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</si>
  <si>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</si>
  <si>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</si>
  <si>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</si>
  <si>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</si>
  <si>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</si>
  <si>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</si>
  <si>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</si>
  <si>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</si>
  <si>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</si>
  <si>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</si>
  <si>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</si>
  <si>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</si>
  <si>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</si>
  <si>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</si>
  <si>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</si>
  <si>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</si>
  <si>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</si>
  <si>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</si>
  <si>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</si>
  <si>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</si>
  <si>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</si>
  <si>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</si>
  <si>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</si>
  <si>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</si>
  <si>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</si>
  <si>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</si>
  <si>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</si>
  <si>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</si>
  <si>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</si>
  <si>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</si>
  <si>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</si>
  <si>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</si>
  <si>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</si>
  <si>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</si>
  <si>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</si>
  <si>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</si>
  <si>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</si>
  <si>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</si>
  <si>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</si>
  <si>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</si>
  <si>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</si>
  <si>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</si>
  <si>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</si>
  <si>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</si>
  <si>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</si>
  <si>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</si>
  <si>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</si>
  <si>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</si>
  <si>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</si>
  <si>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</si>
  <si>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</si>
  <si>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</si>
  <si>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</si>
  <si>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</si>
  <si>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</si>
  <si>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</si>
  <si>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</si>
  <si>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</si>
  <si>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</si>
  <si>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</si>
  <si>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</si>
  <si>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</si>
  <si>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</si>
  <si>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</si>
  <si>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</si>
  <si>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</si>
  <si>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</si>
  <si>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</si>
  <si>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</si>
  <si>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</si>
  <si>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</si>
  <si>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</si>
  <si>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</si>
  <si>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</si>
  <si>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</si>
  <si>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</si>
  <si>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</si>
  <si>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</si>
  <si>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</si>
  <si>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</si>
  <si>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</si>
  <si>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</si>
  <si>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</si>
  <si>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</si>
  <si>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</si>
  <si>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</si>
  <si>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</si>
  <si>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</si>
  <si>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</si>
  <si>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</si>
  <si>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</si>
  <si>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</si>
  <si>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</si>
  <si>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</si>
  <si>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</si>
  <si>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</si>
  <si>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</si>
  <si>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</si>
  <si>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</si>
  <si>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</si>
  <si>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</si>
  <si>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</si>
  <si>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</si>
  <si>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</si>
  <si>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</si>
  <si>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</si>
  <si>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</si>
  <si>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</si>
  <si>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</si>
  <si>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</si>
  <si>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</si>
  <si>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</si>
  <si>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</si>
  <si>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</si>
  <si>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</si>
  <si>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</si>
  <si>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</si>
  <si>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</si>
  <si>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</si>
  <si>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</si>
  <si>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</si>
  <si>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</si>
  <si>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</si>
  <si>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</si>
  <si>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</si>
  <si>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</si>
  <si>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</si>
  <si>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</si>
  <si>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</si>
  <si>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</si>
  <si>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</si>
  <si>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</si>
  <si>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</si>
  <si>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</si>
  <si>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</si>
  <si>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</si>
  <si>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</si>
  <si>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</si>
  <si>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</si>
  <si>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</si>
  <si>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</si>
  <si>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</si>
  <si>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</si>
  <si>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</si>
  <si>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</si>
  <si>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</si>
  <si>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</si>
  <si>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</si>
  <si>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</si>
  <si>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</si>
  <si>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</si>
  <si>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</si>
  <si>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</si>
  <si>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</si>
  <si>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</si>
  <si>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</si>
  <si>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</si>
  <si>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</si>
  <si>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</si>
  <si>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</si>
  <si>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</si>
  <si>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</si>
  <si>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</si>
  <si>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</si>
  <si>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</si>
  <si>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</si>
  <si>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</si>
  <si>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</si>
  <si>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</si>
  <si>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</si>
  <si>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</si>
  <si>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</si>
  <si>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</si>
  <si>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</si>
  <si>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</si>
  <si>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</si>
  <si>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</si>
  <si>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</si>
  <si>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</si>
  <si>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</si>
  <si>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</si>
  <si>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</si>
  <si>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</si>
  <si>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</si>
  <si>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</si>
  <si>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</si>
  <si>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</si>
  <si>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</si>
  <si>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</si>
  <si>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</si>
  <si>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</si>
  <si>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</si>
  <si>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</si>
  <si>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</si>
  <si>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</si>
  <si>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</si>
  <si>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</si>
  <si>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</si>
  <si>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</si>
  <si>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</si>
  <si>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</si>
  <si>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</si>
  <si>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</si>
  <si>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</si>
  <si>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</si>
  <si>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</si>
  <si>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</si>
  <si>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</si>
  <si>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</si>
  <si>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</si>
  <si>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</si>
  <si>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</si>
  <si>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</si>
  <si>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</si>
  <si>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</si>
  <si>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</si>
  <si>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</si>
  <si>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</si>
  <si>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</si>
  <si>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</si>
  <si>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</si>
  <si>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</si>
  <si>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</si>
  <si>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</si>
  <si>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</si>
  <si>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</si>
  <si>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</si>
  <si>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</si>
  <si>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</si>
  <si>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</si>
  <si>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</si>
  <si>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</si>
  <si>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</si>
  <si>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</si>
  <si>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</si>
  <si>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</si>
  <si>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</si>
  <si>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</si>
  <si>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</si>
  <si>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</si>
  <si>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</si>
  <si>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</si>
  <si>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</si>
  <si>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</si>
  <si>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</si>
  <si>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</si>
  <si>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</si>
  <si>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</si>
  <si>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</si>
  <si>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</si>
  <si>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</si>
  <si>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</si>
  <si>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</si>
  <si>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</si>
  <si>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</si>
  <si>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</si>
  <si>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</si>
  <si>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</si>
  <si>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</si>
  <si>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</si>
  <si>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</si>
  <si>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</si>
  <si>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</si>
  <si>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</si>
  <si>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</si>
  <si>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</si>
  <si>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</si>
  <si>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</si>
  <si>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</si>
  <si>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</si>
  <si>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</si>
  <si>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</si>
  <si>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</si>
  <si>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</si>
  <si>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</si>
  <si>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</si>
  <si>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</si>
  <si>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</si>
  <si>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</si>
  <si>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</si>
  <si>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</si>
  <si>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</si>
  <si>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</si>
  <si>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</si>
  <si>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</si>
  <si>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</si>
  <si>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</si>
  <si>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</si>
  <si>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</si>
  <si>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</si>
  <si>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</si>
  <si>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</si>
  <si>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</si>
  <si>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</si>
  <si>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</si>
  <si>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</si>
  <si>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</si>
  <si>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</si>
  <si>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</si>
  <si>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</si>
  <si>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</si>
  <si>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</si>
  <si>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</si>
  <si>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</si>
  <si>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</si>
  <si>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</si>
  <si>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</si>
  <si>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</si>
  <si>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</si>
  <si>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</si>
  <si>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</si>
  <si>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</si>
  <si>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</si>
  <si>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</si>
  <si>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</si>
  <si>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</si>
  <si>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</si>
  <si>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</si>
  <si>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</si>
  <si>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</si>
  <si>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</si>
  <si>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</si>
  <si>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</si>
  <si>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</si>
  <si>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</si>
  <si>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</si>
  <si>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</si>
  <si>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</si>
  <si>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</si>
  <si>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</si>
  <si>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</si>
  <si>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</si>
  <si>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</si>
  <si>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</si>
  <si>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</si>
  <si>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</si>
  <si>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</si>
  <si>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</si>
  <si>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</si>
  <si>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</si>
  <si>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</si>
  <si>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</si>
  <si>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</si>
  <si>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</si>
  <si>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</si>
  <si>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</si>
  <si>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</si>
  <si>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</si>
  <si>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</si>
  <si>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</si>
  <si>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</si>
  <si>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</si>
  <si>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</si>
  <si>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</si>
  <si>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</si>
  <si>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</si>
  <si>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</si>
  <si>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</si>
  <si>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</si>
  <si>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</si>
  <si>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</si>
  <si>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</si>
  <si>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</si>
  <si>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</si>
  <si>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</si>
  <si>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</si>
  <si>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</si>
  <si>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</si>
  <si>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</si>
  <si>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</si>
  <si>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</si>
  <si>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</si>
  <si>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</si>
  <si>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</si>
  <si>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</si>
  <si>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</si>
  <si>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</si>
  <si>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</si>
  <si>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</si>
  <si>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</si>
  <si>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</si>
  <si>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</si>
  <si>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</si>
  <si>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</si>
  <si>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</si>
  <si>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</si>
  <si>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</si>
  <si>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</si>
  <si>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</si>
  <si>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</si>
  <si>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</si>
  <si>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</si>
  <si>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</si>
  <si>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</si>
  <si>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</si>
  <si>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</si>
  <si>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</si>
  <si>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</si>
  <si>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</si>
  <si>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</si>
  <si>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</si>
  <si>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</si>
  <si>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</si>
  <si>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</si>
  <si>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</si>
  <si>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</si>
  <si>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</si>
  <si>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</si>
  <si>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</si>
  <si>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</si>
  <si>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</si>
  <si>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</si>
  <si>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</si>
  <si>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</si>
  <si>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</si>
  <si>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</si>
  <si>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</si>
  <si>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</si>
  <si>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</si>
  <si>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</si>
  <si>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</si>
  <si>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</si>
  <si>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</si>
  <si>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</si>
  <si>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</si>
  <si>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</si>
  <si>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</si>
  <si>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</si>
  <si>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</si>
  <si>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</si>
  <si>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</si>
  <si>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</si>
  <si>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</si>
  <si>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</si>
  <si>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</si>
  <si>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</si>
  <si>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</si>
  <si>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</si>
  <si>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</si>
  <si>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</si>
  <si>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</si>
  <si>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</si>
  <si>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</si>
  <si>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</si>
  <si>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</si>
  <si>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</si>
  <si>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</si>
  <si>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</si>
  <si>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</si>
  <si>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</si>
  <si>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</si>
  <si>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</si>
  <si>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</si>
  <si>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</si>
  <si>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</si>
  <si>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</si>
  <si>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</si>
  <si>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</si>
  <si>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</si>
  <si>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</si>
  <si>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</si>
  <si>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</si>
  <si>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</si>
  <si>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</si>
  <si>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</si>
  <si>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</si>
  <si>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</si>
  <si>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</si>
  <si>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</si>
  <si>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</si>
  <si>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</si>
  <si>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</si>
  <si>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</si>
  <si>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</si>
  <si>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</si>
  <si>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</si>
  <si>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</si>
  <si>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</si>
  <si>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</si>
  <si>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</si>
  <si>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</si>
  <si>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</si>
  <si>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</si>
  <si>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</si>
  <si>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</si>
  <si>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</si>
  <si>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</si>
  <si>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</si>
  <si>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</si>
  <si>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</si>
  <si>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</si>
  <si>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</si>
  <si>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</si>
  <si>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</si>
  <si>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</si>
  <si>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</si>
  <si>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</si>
  <si>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</si>
  <si>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</si>
  <si>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</si>
  <si>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</si>
  <si>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</si>
  <si>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</si>
  <si>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</si>
  <si>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</si>
  <si>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</si>
  <si>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</si>
  <si>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</si>
  <si>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</si>
  <si>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</si>
  <si>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</si>
  <si>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</si>
  <si>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</si>
  <si>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</si>
  <si>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</si>
  <si>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</si>
  <si>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</si>
  <si>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</si>
  <si>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</si>
  <si>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</si>
  <si>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</si>
  <si>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</si>
  <si>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</si>
  <si>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</si>
  <si>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</si>
  <si>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</si>
  <si>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</si>
  <si>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</si>
  <si>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</si>
  <si>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</si>
  <si>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</si>
  <si>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</si>
  <si>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</si>
  <si>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</si>
  <si>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</si>
  <si>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</si>
  <si>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</si>
  <si>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</si>
  <si>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</si>
  <si>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</si>
  <si>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</si>
  <si>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</si>
  <si>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</si>
  <si>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</si>
  <si>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</si>
  <si>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</si>
  <si>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</si>
  <si>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</si>
  <si>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</si>
  <si>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</si>
  <si>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</si>
  <si>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</si>
  <si>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</si>
  <si>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</si>
  <si>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</si>
  <si>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</si>
  <si>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</si>
  <si>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</si>
  <si>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</si>
  <si>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</si>
  <si>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</si>
  <si>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</si>
  <si>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</si>
  <si>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</si>
  <si>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</si>
  <si>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</si>
  <si>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</si>
  <si>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</si>
  <si>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</si>
  <si>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</si>
  <si>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</si>
  <si>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</si>
  <si>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</si>
  <si>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</si>
  <si>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</si>
  <si>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</si>
  <si>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</si>
  <si>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</si>
  <si>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</si>
  <si>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</si>
  <si>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</si>
  <si>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</si>
  <si>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</si>
  <si>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</si>
  <si>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</si>
  <si>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</si>
  <si>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</si>
  <si>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</si>
  <si>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</si>
  <si>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</si>
  <si>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</si>
  <si>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</si>
  <si>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</si>
  <si>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</si>
  <si>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</si>
  <si>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</si>
  <si>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</si>
  <si>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</si>
  <si>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</si>
  <si>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</si>
  <si>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</si>
  <si>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</si>
  <si>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</si>
  <si>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</si>
  <si>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</si>
  <si>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</si>
  <si>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</si>
  <si>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</si>
  <si>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</si>
  <si>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</si>
  <si>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</si>
  <si>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</si>
  <si>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</si>
  <si>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</si>
  <si>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</si>
  <si>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</si>
  <si>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</si>
  <si>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</si>
  <si>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</si>
  <si>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</si>
  <si>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</si>
  <si>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</si>
  <si>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</si>
  <si>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</si>
  <si>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</si>
  <si>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</si>
  <si>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</si>
  <si>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</si>
  <si>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</si>
  <si>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</si>
  <si>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</si>
  <si>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</si>
  <si>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</si>
  <si>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</si>
  <si>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</si>
  <si>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</si>
  <si>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</si>
  <si>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</si>
  <si>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</si>
  <si>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</si>
  <si>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</si>
  <si>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</si>
  <si>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</si>
  <si>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</si>
  <si>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</si>
  <si>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</si>
  <si>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</si>
  <si>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</si>
  <si>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</si>
  <si>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</si>
  <si>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</si>
  <si>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</si>
  <si>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</si>
  <si>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</si>
  <si>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</si>
  <si>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</si>
  <si>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</si>
  <si>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</si>
  <si>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</si>
  <si>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</si>
  <si>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</si>
  <si>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</si>
  <si>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</si>
  <si>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</si>
  <si>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</si>
  <si>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</si>
  <si>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</si>
  <si>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</si>
  <si>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</si>
  <si>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</si>
  <si>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</si>
  <si>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</si>
  <si>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</si>
  <si>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</si>
  <si>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</si>
  <si>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</si>
  <si>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</si>
  <si>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</si>
  <si>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</si>
  <si>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</si>
  <si>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</si>
  <si>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</si>
  <si>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</si>
  <si>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</si>
  <si>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</si>
  <si>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</si>
  <si>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</si>
  <si>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</si>
  <si>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</si>
  <si>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</si>
  <si>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</si>
  <si>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</si>
  <si>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</si>
  <si>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</si>
  <si>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</si>
  <si>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</si>
  <si>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</si>
  <si>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</si>
  <si>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</si>
  <si>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</si>
  <si>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</si>
  <si>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</si>
  <si>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</si>
  <si>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</si>
  <si>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</si>
  <si>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</si>
  <si>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</si>
  <si>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</si>
  <si>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</si>
  <si>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</si>
  <si>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</si>
  <si>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</si>
  <si>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</si>
  <si>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</si>
  <si>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</si>
  <si>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</si>
  <si>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</si>
  <si>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</si>
  <si>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</si>
  <si>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</si>
  <si>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</si>
  <si>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</si>
  <si>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</si>
  <si>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</si>
  <si>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</si>
  <si>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</si>
  <si>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</si>
  <si>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</si>
  <si>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</si>
  <si>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</si>
  <si>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</si>
  <si>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</si>
  <si>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</si>
  <si>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</si>
  <si>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</si>
  <si>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</si>
  <si>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</si>
  <si>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</si>
  <si>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</si>
  <si>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</si>
  <si>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</si>
  <si>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</si>
  <si>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</si>
  <si>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</si>
  <si>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</si>
  <si>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</si>
  <si>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</si>
  <si>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</si>
  <si>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</si>
  <si>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</si>
  <si>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</si>
  <si>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</si>
  <si>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</si>
  <si>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</si>
  <si>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</si>
  <si>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</si>
  <si>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</si>
  <si>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</si>
  <si>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</si>
  <si>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</si>
  <si>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</si>
  <si>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</si>
  <si>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</si>
  <si>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</si>
  <si>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</si>
  <si>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</si>
  <si>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</si>
  <si>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</si>
  <si>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</si>
  <si>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</si>
  <si>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</si>
  <si>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</si>
  <si>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</si>
  <si>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</si>
  <si>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</si>
  <si>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</si>
  <si>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</si>
  <si>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</si>
  <si>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</si>
  <si>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</si>
  <si>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</si>
  <si>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</si>
  <si>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</si>
  <si>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</si>
  <si>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</si>
  <si>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</si>
  <si>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</si>
  <si>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</si>
  <si>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</si>
  <si>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</si>
  <si>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</si>
  <si>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</si>
  <si>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</si>
  <si>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</si>
  <si>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</si>
  <si>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</si>
  <si>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</si>
  <si>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</si>
  <si>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11/01</t>
  </si>
  <si>
    <t>08/03</t>
  </si>
  <si>
    <t>11/21</t>
  </si>
  <si>
    <t>02/23</t>
  </si>
  <si>
    <t>LGC settlement credit in this account is ($170,753)</t>
  </si>
  <si>
    <t>LGC settlement credit in this account is ($165,623.07)</t>
  </si>
  <si>
    <t>LGC settlement credit in this account is ($164,401.66)</t>
  </si>
  <si>
    <t>Other revenue in Special rev funds includes $25,794.79 E-rate funds from vendors used for technology purchases.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</si>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</sst>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423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2249040.7999999998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1008856.59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69952.959999999992</v>
      </c>
      <c r="G12" s="18">
        <v>6089.9200000000128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116887.26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461855.19</v>
      </c>
      <c r="G14" s="18">
        <v>21637.5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34940.449999999997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2815789.4</v>
      </c>
      <c r="G19" s="41">
        <f>SUM(G9:G18)</f>
        <v>27727.420000000013</v>
      </c>
      <c r="H19" s="41">
        <f>SUM(H9:H18)</f>
        <v>116887.26</v>
      </c>
      <c r="I19" s="41">
        <f>SUM(I9:I18)</f>
        <v>0</v>
      </c>
      <c r="J19" s="41">
        <f>SUM(J9:J18)</f>
        <v>1008856.59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76042.880000000005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322297.59999999998</v>
      </c>
      <c r="G24" s="18">
        <v>2292.06</v>
      </c>
      <c r="H24" s="18">
        <v>4380.09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689158.89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25414.97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1011456.49</v>
      </c>
      <c r="G32" s="41">
        <f>SUM(G22:G31)</f>
        <v>27707.030000000002</v>
      </c>
      <c r="H32" s="41">
        <f>SUM(H22:H31)</f>
        <v>80422.97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20.39</v>
      </c>
      <c r="H43" s="18">
        <v>36464.29</v>
      </c>
      <c r="I43" s="18"/>
      <c r="J43" s="13">
        <f>SUM(I456)</f>
        <v>1008856.59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500000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921433.87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382899.04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1804332.9100000001</v>
      </c>
      <c r="G51" s="41">
        <f>SUM(G35:G50)</f>
        <v>20.39</v>
      </c>
      <c r="H51" s="41">
        <f>SUM(H35:H50)</f>
        <v>36464.29</v>
      </c>
      <c r="I51" s="41">
        <f>SUM(I35:I50)</f>
        <v>0</v>
      </c>
      <c r="J51" s="41">
        <f>SUM(J35:J50)</f>
        <v>1008856.59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2815789.4000000004</v>
      </c>
      <c r="G52" s="41">
        <f>G51+G32</f>
        <v>27727.420000000002</v>
      </c>
      <c r="H52" s="41">
        <f>H51+H32</f>
        <v>116887.26000000001</v>
      </c>
      <c r="I52" s="41">
        <f>I51+I32</f>
        <v>0</v>
      </c>
      <c r="J52" s="41">
        <f>J51+J32</f>
        <v>1008856.59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26691344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26691344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5957.56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2175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1066839.04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1074971.6000000001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35182.720000000001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35182.720000000001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4541.78</v>
      </c>
      <c r="G96" s="18"/>
      <c r="H96" s="18"/>
      <c r="I96" s="18"/>
      <c r="J96" s="18">
        <v>111.17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470616.08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12655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21627.75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750</v>
      </c>
      <c r="H102" s="18"/>
      <c r="I102" s="18"/>
      <c r="J102" s="18">
        <v>10091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>
        <v>4350</v>
      </c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136166.38</v>
      </c>
      <c r="G110" s="18"/>
      <c r="H110" s="18">
        <v>39909.120000000003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162335.91</v>
      </c>
      <c r="G111" s="41">
        <f>SUM(G96:G110)</f>
        <v>471366.08</v>
      </c>
      <c r="H111" s="41">
        <f>SUM(H96:H110)</f>
        <v>56914.12</v>
      </c>
      <c r="I111" s="41">
        <f>SUM(I96:I110)</f>
        <v>0</v>
      </c>
      <c r="J111" s="41">
        <f>SUM(J96:J110)</f>
        <v>10202.17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27963834.23</v>
      </c>
      <c r="G112" s="41">
        <f>G60+G111</f>
        <v>471366.08</v>
      </c>
      <c r="H112" s="41">
        <f>H60+H79+H94+H111</f>
        <v>56914.12</v>
      </c>
      <c r="I112" s="41">
        <f>I60+I111</f>
        <v>0</v>
      </c>
      <c r="J112" s="41">
        <f>J60+J111</f>
        <v>10202.17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4770190.3099999996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3659276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8429466.3099999987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523742.08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245785.84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4399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4560.37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773926.92</v>
      </c>
      <c r="G136" s="41">
        <f>SUM(G123:G135)</f>
        <v>4560.37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9203393.2299999986</v>
      </c>
      <c r="G140" s="41">
        <f>G121+SUM(G136:G137)</f>
        <v>4560.37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109719.3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19256.48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90339.78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412933.62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352305.69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352305.69</v>
      </c>
      <c r="G162" s="41">
        <f>SUM(G150:G161)</f>
        <v>90339.78</v>
      </c>
      <c r="H162" s="41">
        <f>SUM(H150:H161)</f>
        <v>541909.4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352305.69</v>
      </c>
      <c r="G169" s="41">
        <f>G147+G162+SUM(G163:G168)</f>
        <v>90339.78</v>
      </c>
      <c r="H169" s="41">
        <f>H147+H162+SUM(H163:H168)</f>
        <v>541909.4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55968.91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55968.91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55968.91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37519533.149999999</v>
      </c>
      <c r="G193" s="47">
        <f>G112+G140+G169+G192</f>
        <v>622235.14</v>
      </c>
      <c r="H193" s="47">
        <f>H112+H140+H169+H192</f>
        <v>598823.52</v>
      </c>
      <c r="I193" s="47">
        <f>I112+I140+I169+I192</f>
        <v>0</v>
      </c>
      <c r="J193" s="47">
        <f>J112+J140+J192</f>
        <v>10202.17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3431418.4600000004</v>
      </c>
      <c r="G197" s="18">
        <v>1326527.8162097563</v>
      </c>
      <c r="H197" s="18">
        <v>19568.78</v>
      </c>
      <c r="I197" s="18">
        <v>106971.90829268293</v>
      </c>
      <c r="J197" s="18">
        <v>59416.43</v>
      </c>
      <c r="K197" s="18">
        <v>207.88</v>
      </c>
      <c r="L197" s="19">
        <f>SUM(F197:K197)</f>
        <v>4944111.2745024394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1053062.18</v>
      </c>
      <c r="G198" s="18">
        <v>402591.29000000004</v>
      </c>
      <c r="H198" s="18">
        <v>593407.39</v>
      </c>
      <c r="I198" s="18">
        <v>3216.4</v>
      </c>
      <c r="J198" s="18">
        <v>2110.4299999999998</v>
      </c>
      <c r="K198" s="18">
        <v>4800</v>
      </c>
      <c r="L198" s="19">
        <f>SUM(F198:K198)</f>
        <v>2059187.6899999997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50872.520000000004</v>
      </c>
      <c r="G200" s="18">
        <v>5953.9100000000017</v>
      </c>
      <c r="H200" s="18">
        <v>35101.78</v>
      </c>
      <c r="I200" s="18">
        <v>463.36999999999995</v>
      </c>
      <c r="J200" s="18">
        <v>1054.8699999999999</v>
      </c>
      <c r="K200" s="18">
        <v>0</v>
      </c>
      <c r="L200" s="19">
        <f>SUM(F200:K200)</f>
        <v>93446.45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761890.32000000007</v>
      </c>
      <c r="G202" s="18">
        <v>369813.35000000003</v>
      </c>
      <c r="H202" s="18">
        <v>368616.49</v>
      </c>
      <c r="I202" s="18">
        <v>20299.239999999998</v>
      </c>
      <c r="J202" s="18">
        <v>4086.1200000000003</v>
      </c>
      <c r="K202" s="18">
        <v>2440.88</v>
      </c>
      <c r="L202" s="19">
        <f t="shared" ref="L202:L208" si="0">SUM(F202:K202)</f>
        <v>1527146.4000000001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219810.09999999998</v>
      </c>
      <c r="G203" s="18">
        <v>78867.77</v>
      </c>
      <c r="H203" s="18">
        <v>29472.39</v>
      </c>
      <c r="I203" s="18">
        <v>45950.32</v>
      </c>
      <c r="J203" s="18">
        <v>8351.2800000000007</v>
      </c>
      <c r="K203" s="18">
        <v>74.67</v>
      </c>
      <c r="L203" s="19">
        <f t="shared" si="0"/>
        <v>382526.53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232649.15</v>
      </c>
      <c r="G204" s="18">
        <v>101095.6</v>
      </c>
      <c r="H204" s="18">
        <v>76452.09</v>
      </c>
      <c r="I204" s="18">
        <v>8563.6299999999992</v>
      </c>
      <c r="J204" s="18"/>
      <c r="K204" s="18">
        <v>5665.13</v>
      </c>
      <c r="L204" s="19">
        <f t="shared" si="0"/>
        <v>424425.6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345783.51999999996</v>
      </c>
      <c r="G205" s="18">
        <v>159105.34</v>
      </c>
      <c r="H205" s="18">
        <v>4730.7300000000005</v>
      </c>
      <c r="I205" s="18">
        <v>6330.67</v>
      </c>
      <c r="J205" s="18"/>
      <c r="K205" s="18">
        <v>2052</v>
      </c>
      <c r="L205" s="19">
        <f t="shared" si="0"/>
        <v>518002.25999999995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-80428.490000000005</v>
      </c>
      <c r="G206" s="18">
        <v>37855.56</v>
      </c>
      <c r="H206" s="18">
        <v>61264.07</v>
      </c>
      <c r="I206" s="18">
        <v>2005.24</v>
      </c>
      <c r="J206" s="18"/>
      <c r="K206" s="18">
        <v>1071.3599999999999</v>
      </c>
      <c r="L206" s="19">
        <f t="shared" si="0"/>
        <v>21767.739999999994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262528.69000000006</v>
      </c>
      <c r="G207" s="18">
        <v>115631.71000000002</v>
      </c>
      <c r="H207" s="18">
        <v>438641.52999999997</v>
      </c>
      <c r="I207" s="18">
        <v>177939.20999999996</v>
      </c>
      <c r="J207" s="18">
        <v>11557.68</v>
      </c>
      <c r="K207" s="18"/>
      <c r="L207" s="19">
        <f t="shared" si="0"/>
        <v>1006298.8200000001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394628.83</v>
      </c>
      <c r="G208" s="18">
        <v>271694.44</v>
      </c>
      <c r="H208" s="18">
        <v>96229.97</v>
      </c>
      <c r="I208" s="18">
        <v>105808.03</v>
      </c>
      <c r="J208" s="18">
        <v>103147.68</v>
      </c>
      <c r="K208" s="18">
        <v>698.08</v>
      </c>
      <c r="L208" s="19">
        <f t="shared" si="0"/>
        <v>972207.02999999991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6672215.2800000003</v>
      </c>
      <c r="G211" s="41">
        <f t="shared" si="1"/>
        <v>2869136.786209756</v>
      </c>
      <c r="H211" s="41">
        <f t="shared" si="1"/>
        <v>1723485.2200000002</v>
      </c>
      <c r="I211" s="41">
        <f t="shared" si="1"/>
        <v>477548.01829268294</v>
      </c>
      <c r="J211" s="41">
        <f t="shared" si="1"/>
        <v>189724.49</v>
      </c>
      <c r="K211" s="41">
        <f t="shared" si="1"/>
        <v>17010.000000000004</v>
      </c>
      <c r="L211" s="41">
        <f t="shared" si="1"/>
        <v>11949119.794502437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3617272.47</v>
      </c>
      <c r="G215" s="18">
        <v>1536717.8949073171</v>
      </c>
      <c r="H215" s="18">
        <v>17659.54</v>
      </c>
      <c r="I215" s="18">
        <v>84420.40121951219</v>
      </c>
      <c r="J215" s="18">
        <v>58616.179999999993</v>
      </c>
      <c r="K215" s="18">
        <v>0</v>
      </c>
      <c r="L215" s="19">
        <f>SUM(F215:K215)</f>
        <v>5314686.4861268289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1163474.69</v>
      </c>
      <c r="G216" s="18">
        <v>466452.87000000005</v>
      </c>
      <c r="H216" s="18">
        <v>402652.78</v>
      </c>
      <c r="I216" s="18">
        <v>5002.6899999999996</v>
      </c>
      <c r="J216" s="18">
        <v>455.93</v>
      </c>
      <c r="K216" s="18">
        <v>4087.07</v>
      </c>
      <c r="L216" s="19">
        <f>SUM(F216:K216)</f>
        <v>2042126.03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98535.450000000012</v>
      </c>
      <c r="G218" s="18">
        <v>15264.240000000002</v>
      </c>
      <c r="H218" s="18">
        <v>6521.79</v>
      </c>
      <c r="I218" s="18">
        <v>6185.68</v>
      </c>
      <c r="J218" s="18">
        <v>1023.18</v>
      </c>
      <c r="K218" s="18">
        <v>0</v>
      </c>
      <c r="L218" s="19">
        <f>SUM(F218:K218)</f>
        <v>127530.34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639425.16999999993</v>
      </c>
      <c r="G220" s="18">
        <v>196099.32999999996</v>
      </c>
      <c r="H220" s="18">
        <v>180848.28000000003</v>
      </c>
      <c r="I220" s="18">
        <v>9090.7199999999993</v>
      </c>
      <c r="J220" s="18">
        <v>3687.08</v>
      </c>
      <c r="K220" s="18">
        <v>2367.54</v>
      </c>
      <c r="L220" s="19">
        <f t="shared" ref="L220:L226" si="2">SUM(F220:K220)</f>
        <v>1031518.1199999999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138210.22</v>
      </c>
      <c r="G221" s="18">
        <v>54378.930000000008</v>
      </c>
      <c r="H221" s="18">
        <v>28956.239999999998</v>
      </c>
      <c r="I221" s="18">
        <v>36158.480000000003</v>
      </c>
      <c r="J221" s="18">
        <v>9234.84</v>
      </c>
      <c r="K221" s="18">
        <v>72.430000000000007</v>
      </c>
      <c r="L221" s="19">
        <f t="shared" si="2"/>
        <v>267011.14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180827.76</v>
      </c>
      <c r="G222" s="18">
        <v>64703.01</v>
      </c>
      <c r="H222" s="18">
        <v>72552.959999999992</v>
      </c>
      <c r="I222" s="18">
        <v>8306.35</v>
      </c>
      <c r="J222" s="18"/>
      <c r="K222" s="18">
        <v>5494.93</v>
      </c>
      <c r="L222" s="19">
        <f t="shared" si="2"/>
        <v>331885.00999999995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255520.97</v>
      </c>
      <c r="G223" s="18">
        <v>135296.13</v>
      </c>
      <c r="H223" s="18">
        <v>4748.08</v>
      </c>
      <c r="I223" s="18">
        <v>4719.8900000000003</v>
      </c>
      <c r="J223" s="18"/>
      <c r="K223" s="18">
        <v>696.26</v>
      </c>
      <c r="L223" s="19">
        <f t="shared" si="2"/>
        <v>400981.33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-78012.179999999993</v>
      </c>
      <c r="G224" s="18">
        <v>36718.269999999997</v>
      </c>
      <c r="H224" s="18">
        <v>59423.519999999997</v>
      </c>
      <c r="I224" s="18">
        <v>1945</v>
      </c>
      <c r="J224" s="18"/>
      <c r="K224" s="18">
        <v>1039.17</v>
      </c>
      <c r="L224" s="19">
        <f t="shared" si="2"/>
        <v>21113.78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285532.86</v>
      </c>
      <c r="G225" s="18">
        <v>161212.19999999998</v>
      </c>
      <c r="H225" s="18">
        <v>382875.12999999995</v>
      </c>
      <c r="I225" s="18">
        <v>138022.51999999999</v>
      </c>
      <c r="J225" s="18">
        <v>30429.919999999998</v>
      </c>
      <c r="K225" s="18"/>
      <c r="L225" s="19">
        <f t="shared" si="2"/>
        <v>998072.63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206854.79</v>
      </c>
      <c r="G226" s="18">
        <v>136520.25</v>
      </c>
      <c r="H226" s="18">
        <v>49544.98</v>
      </c>
      <c r="I226" s="18">
        <v>52904.01</v>
      </c>
      <c r="J226" s="18">
        <v>51573.84</v>
      </c>
      <c r="K226" s="18">
        <v>349.04</v>
      </c>
      <c r="L226" s="19">
        <f t="shared" si="2"/>
        <v>497746.91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6507642.2000000002</v>
      </c>
      <c r="G229" s="41">
        <f>SUM(G215:G228)</f>
        <v>2803363.1249073171</v>
      </c>
      <c r="H229" s="41">
        <f>SUM(H215:H228)</f>
        <v>1205783.2999999998</v>
      </c>
      <c r="I229" s="41">
        <f>SUM(I215:I228)</f>
        <v>346755.74121951219</v>
      </c>
      <c r="J229" s="41">
        <f>SUM(J215:J228)</f>
        <v>155020.96999999997</v>
      </c>
      <c r="K229" s="41">
        <f t="shared" si="3"/>
        <v>14106.440000000002</v>
      </c>
      <c r="L229" s="41">
        <f t="shared" si="3"/>
        <v>11032671.77612683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3457797.6</v>
      </c>
      <c r="G233" s="18">
        <v>1619486.538882927</v>
      </c>
      <c r="H233" s="18">
        <v>20212.489999999998</v>
      </c>
      <c r="I233" s="18">
        <v>91518.030487804877</v>
      </c>
      <c r="J233" s="18">
        <v>58806.04</v>
      </c>
      <c r="K233" s="18">
        <v>0</v>
      </c>
      <c r="L233" s="19">
        <f>SUM(F233:K233)</f>
        <v>5247820.6993707325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1238222.0499999998</v>
      </c>
      <c r="G234" s="18">
        <v>470102.29999999993</v>
      </c>
      <c r="H234" s="18">
        <v>88721.41</v>
      </c>
      <c r="I234" s="18">
        <v>6885.7900000000009</v>
      </c>
      <c r="J234" s="18">
        <v>944.37</v>
      </c>
      <c r="K234" s="18">
        <v>4087.08</v>
      </c>
      <c r="L234" s="19">
        <f>SUM(F234:K234)</f>
        <v>1808962.9999999998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21426.81</v>
      </c>
      <c r="I235" s="18"/>
      <c r="J235" s="18"/>
      <c r="K235" s="18"/>
      <c r="L235" s="19">
        <f>SUM(F235:K235)</f>
        <v>21426.81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272890.06</v>
      </c>
      <c r="G236" s="18">
        <v>61897.48</v>
      </c>
      <c r="H236" s="18">
        <v>83231.05</v>
      </c>
      <c r="I236" s="18">
        <v>24153.71</v>
      </c>
      <c r="J236" s="18">
        <v>4219.1099999999997</v>
      </c>
      <c r="K236" s="18">
        <v>39106.5</v>
      </c>
      <c r="L236" s="19">
        <f>SUM(F236:K236)</f>
        <v>485497.91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685787.20000000007</v>
      </c>
      <c r="G238" s="18">
        <v>296863.91999999993</v>
      </c>
      <c r="H238" s="18">
        <v>112034.51</v>
      </c>
      <c r="I238" s="18">
        <v>10945.009999999998</v>
      </c>
      <c r="J238" s="18">
        <v>4538.08</v>
      </c>
      <c r="K238" s="18">
        <v>2350.08</v>
      </c>
      <c r="L238" s="19">
        <f t="shared" ref="L238:L244" si="4">SUM(F238:K238)</f>
        <v>1112518.8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178577.15000000002</v>
      </c>
      <c r="G239" s="18">
        <v>61727.22</v>
      </c>
      <c r="H239" s="18">
        <v>40313.770000000004</v>
      </c>
      <c r="I239" s="18">
        <v>34928.300000000003</v>
      </c>
      <c r="J239" s="18">
        <v>7525.4</v>
      </c>
      <c r="K239" s="18">
        <v>71.900000000000006</v>
      </c>
      <c r="L239" s="19">
        <f t="shared" si="4"/>
        <v>323143.74000000005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241606.72</v>
      </c>
      <c r="G240" s="18">
        <v>98309.95</v>
      </c>
      <c r="H240" s="18">
        <v>74194.989999999991</v>
      </c>
      <c r="I240" s="18">
        <v>8245.09</v>
      </c>
      <c r="J240" s="18"/>
      <c r="K240" s="18">
        <v>5846.41</v>
      </c>
      <c r="L240" s="19">
        <f t="shared" si="4"/>
        <v>428203.16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352843.64</v>
      </c>
      <c r="G241" s="18">
        <v>160666.01</v>
      </c>
      <c r="H241" s="18">
        <v>18730.899999999998</v>
      </c>
      <c r="I241" s="18">
        <v>14893.46</v>
      </c>
      <c r="J241" s="18"/>
      <c r="K241" s="18">
        <v>6007.76</v>
      </c>
      <c r="L241" s="19">
        <f t="shared" si="4"/>
        <v>553141.77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-77436.87</v>
      </c>
      <c r="G242" s="18">
        <v>36447.480000000003</v>
      </c>
      <c r="H242" s="18">
        <v>58985.29</v>
      </c>
      <c r="I242" s="18">
        <v>1930.65</v>
      </c>
      <c r="J242" s="18"/>
      <c r="K242" s="18">
        <v>1031.51</v>
      </c>
      <c r="L242" s="19">
        <f t="shared" si="4"/>
        <v>20958.060000000009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411283.95</v>
      </c>
      <c r="G243" s="18">
        <v>237285.38</v>
      </c>
      <c r="H243" s="18">
        <v>422741.12</v>
      </c>
      <c r="I243" s="18">
        <v>340700.09000000008</v>
      </c>
      <c r="J243" s="18">
        <v>39648.720000000001</v>
      </c>
      <c r="K243" s="18"/>
      <c r="L243" s="19">
        <f t="shared" si="4"/>
        <v>1451659.2600000002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227338.31</v>
      </c>
      <c r="G244" s="18">
        <v>138066.04</v>
      </c>
      <c r="H244" s="18">
        <v>58099.98</v>
      </c>
      <c r="I244" s="18">
        <v>52904.01</v>
      </c>
      <c r="J244" s="18">
        <v>51573.84</v>
      </c>
      <c r="K244" s="18">
        <v>349.04</v>
      </c>
      <c r="L244" s="19">
        <f t="shared" si="4"/>
        <v>528331.22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6988909.8099999996</v>
      </c>
      <c r="G247" s="41">
        <f t="shared" si="5"/>
        <v>3180852.3188829268</v>
      </c>
      <c r="H247" s="41">
        <f t="shared" si="5"/>
        <v>998692.32000000007</v>
      </c>
      <c r="I247" s="41">
        <f t="shared" si="5"/>
        <v>587104.14048780501</v>
      </c>
      <c r="J247" s="41">
        <f t="shared" si="5"/>
        <v>167255.56</v>
      </c>
      <c r="K247" s="41">
        <f t="shared" si="5"/>
        <v>58850.280000000006</v>
      </c>
      <c r="L247" s="41">
        <f t="shared" si="5"/>
        <v>11981664.429370733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148677.1+52590.97</f>
        <v>201268.07</v>
      </c>
      <c r="I255" s="18"/>
      <c r="J255" s="18"/>
      <c r="K255" s="18"/>
      <c r="L255" s="19">
        <f t="shared" si="6"/>
        <v>201268.07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201268.07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201268.07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20168767.289999999</v>
      </c>
      <c r="G257" s="41">
        <f t="shared" si="8"/>
        <v>8853352.2300000004</v>
      </c>
      <c r="H257" s="41">
        <f t="shared" si="8"/>
        <v>4129228.9099999997</v>
      </c>
      <c r="I257" s="41">
        <f t="shared" si="8"/>
        <v>1411407.9000000001</v>
      </c>
      <c r="J257" s="41">
        <f t="shared" si="8"/>
        <v>512001.01999999996</v>
      </c>
      <c r="K257" s="41">
        <f t="shared" si="8"/>
        <v>89966.720000000016</v>
      </c>
      <c r="L257" s="41">
        <f t="shared" si="8"/>
        <v>35164724.07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1135000</v>
      </c>
      <c r="L260" s="19">
        <f>SUM(F260:K260)</f>
        <v>1135000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457220</v>
      </c>
      <c r="L261" s="19">
        <f>SUM(F261:K261)</f>
        <v>457220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55968.91</v>
      </c>
      <c r="L263" s="19">
        <f>SUM(F263:K263)</f>
        <v>55968.91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1648188.91</v>
      </c>
      <c r="L270" s="41">
        <f t="shared" si="9"/>
        <v>1648188.91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20168767.289999999</v>
      </c>
      <c r="G271" s="42">
        <f t="shared" si="11"/>
        <v>8853352.2300000004</v>
      </c>
      <c r="H271" s="42">
        <f t="shared" si="11"/>
        <v>4129228.9099999997</v>
      </c>
      <c r="I271" s="42">
        <f t="shared" si="11"/>
        <v>1411407.9000000001</v>
      </c>
      <c r="J271" s="42">
        <f t="shared" si="11"/>
        <v>512001.01999999996</v>
      </c>
      <c r="K271" s="42">
        <f t="shared" si="11"/>
        <v>1738155.63</v>
      </c>
      <c r="L271" s="42">
        <f t="shared" si="11"/>
        <v>36812912.979999997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58243.314643902435</v>
      </c>
      <c r="G276" s="18">
        <v>19822.057926829268</v>
      </c>
      <c r="H276" s="18">
        <v>7709.8427658536584</v>
      </c>
      <c r="I276" s="18">
        <v>9398.8837560975608</v>
      </c>
      <c r="J276" s="18">
        <v>12032.550000000001</v>
      </c>
      <c r="K276" s="18"/>
      <c r="L276" s="19">
        <f>SUM(F276:K276)</f>
        <v>107206.64909268293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613.7560975609756</v>
      </c>
      <c r="G277" s="18">
        <v>133.86020487804879</v>
      </c>
      <c r="H277" s="18">
        <v>17598.584936585365</v>
      </c>
      <c r="I277" s="18">
        <v>0</v>
      </c>
      <c r="J277" s="18">
        <v>853.2573658536586</v>
      </c>
      <c r="K277" s="18"/>
      <c r="L277" s="19">
        <f>SUM(F277:K277)</f>
        <v>19199.458604878051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733.09756097560978</v>
      </c>
      <c r="G279" s="18">
        <v>63.793126829268296</v>
      </c>
      <c r="H279" s="18">
        <v>0</v>
      </c>
      <c r="I279" s="18">
        <v>46.556809756097564</v>
      </c>
      <c r="J279" s="18">
        <v>0</v>
      </c>
      <c r="K279" s="18"/>
      <c r="L279" s="19">
        <f>SUM(F279:K279)</f>
        <v>843.44749756097565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1292.1816292682927</v>
      </c>
      <c r="I282" s="18">
        <v>16.816917073170732</v>
      </c>
      <c r="J282" s="18">
        <v>0</v>
      </c>
      <c r="K282" s="18"/>
      <c r="L282" s="19">
        <f t="shared" si="12"/>
        <v>1308.9985463414635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3552.7339902439026</v>
      </c>
      <c r="I288" s="18">
        <v>2186.5700390243906</v>
      </c>
      <c r="J288" s="18">
        <v>1704.8780487804879</v>
      </c>
      <c r="K288" s="18"/>
      <c r="L288" s="19">
        <f>SUM(F288:K288)</f>
        <v>7444.1820780487806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59590.168302439022</v>
      </c>
      <c r="G290" s="42">
        <f t="shared" si="13"/>
        <v>20019.711258536583</v>
      </c>
      <c r="H290" s="42">
        <f t="shared" si="13"/>
        <v>30153.343321951219</v>
      </c>
      <c r="I290" s="42">
        <f t="shared" si="13"/>
        <v>11648.82752195122</v>
      </c>
      <c r="J290" s="42">
        <f t="shared" si="13"/>
        <v>14590.685414634147</v>
      </c>
      <c r="K290" s="42">
        <f t="shared" si="13"/>
        <v>0</v>
      </c>
      <c r="L290" s="41">
        <f t="shared" si="13"/>
        <v>136002.73581951219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4380.3694829268297</v>
      </c>
      <c r="G295" s="18">
        <v>845.10219512195124</v>
      </c>
      <c r="H295" s="18">
        <v>4430.9218243902442</v>
      </c>
      <c r="I295" s="18">
        <v>1268.4553170731708</v>
      </c>
      <c r="J295" s="18">
        <v>0</v>
      </c>
      <c r="K295" s="18"/>
      <c r="L295" s="19">
        <f>SUM(F295:K295)</f>
        <v>10924.848819512195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144369.31707317074</v>
      </c>
      <c r="G296" s="18">
        <v>70889.468653658536</v>
      </c>
      <c r="H296" s="18">
        <v>2320.7047024390245</v>
      </c>
      <c r="I296" s="18">
        <v>0</v>
      </c>
      <c r="J296" s="18">
        <v>827.62302439024393</v>
      </c>
      <c r="K296" s="18"/>
      <c r="L296" s="19">
        <f>SUM(F296:K296)</f>
        <v>218407.11345365853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711.07317073170736</v>
      </c>
      <c r="G298" s="18">
        <v>61.876595121951226</v>
      </c>
      <c r="H298" s="18">
        <v>0</v>
      </c>
      <c r="I298" s="18">
        <v>45.158107317073167</v>
      </c>
      <c r="J298" s="18">
        <v>0</v>
      </c>
      <c r="K298" s="18"/>
      <c r="L298" s="19">
        <f>SUM(F298:K298)</f>
        <v>818.10787317073175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1253.3607219512196</v>
      </c>
      <c r="I301" s="18">
        <v>16.311687804878051</v>
      </c>
      <c r="J301" s="18">
        <v>0</v>
      </c>
      <c r="K301" s="18"/>
      <c r="L301" s="19">
        <f t="shared" si="14"/>
        <v>1269.6724097560977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160</v>
      </c>
      <c r="J306" s="18">
        <v>0</v>
      </c>
      <c r="K306" s="18"/>
      <c r="L306" s="19">
        <f t="shared" si="14"/>
        <v>160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3445.9994926829268</v>
      </c>
      <c r="I307" s="18">
        <v>2009.3340292682929</v>
      </c>
      <c r="J307" s="18">
        <v>1653.6585365853659</v>
      </c>
      <c r="K307" s="18"/>
      <c r="L307" s="19">
        <f>SUM(F307:K307)</f>
        <v>7108.9920585365853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149460.75972682927</v>
      </c>
      <c r="G309" s="42">
        <f t="shared" si="15"/>
        <v>71796.447443902434</v>
      </c>
      <c r="H309" s="42">
        <f t="shared" si="15"/>
        <v>11450.986741463414</v>
      </c>
      <c r="I309" s="42">
        <f t="shared" si="15"/>
        <v>3499.2591414634153</v>
      </c>
      <c r="J309" s="42">
        <f t="shared" si="15"/>
        <v>2481.2815609756099</v>
      </c>
      <c r="K309" s="42">
        <f t="shared" si="15"/>
        <v>0</v>
      </c>
      <c r="L309" s="41">
        <f t="shared" si="15"/>
        <v>238688.73461463416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4348.0658731707317</v>
      </c>
      <c r="G314" s="18">
        <v>838.86987804878049</v>
      </c>
      <c r="H314" s="18">
        <v>4398.2454097560976</v>
      </c>
      <c r="I314" s="18">
        <v>1259.1009268292685</v>
      </c>
      <c r="J314" s="18">
        <v>0</v>
      </c>
      <c r="K314" s="18"/>
      <c r="L314" s="19">
        <f>SUM(F314:K314)</f>
        <v>10844.282087804879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111865.7268292683</v>
      </c>
      <c r="G315" s="18">
        <v>60336.211141463413</v>
      </c>
      <c r="H315" s="18">
        <v>2303.5903609756101</v>
      </c>
      <c r="I315" s="18">
        <v>0</v>
      </c>
      <c r="J315" s="18">
        <v>821.51960975609768</v>
      </c>
      <c r="K315" s="18"/>
      <c r="L315" s="19">
        <f>SUM(F315:K315)</f>
        <v>175327.04794146342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705.82926829268297</v>
      </c>
      <c r="G317" s="18">
        <v>61.420278048780489</v>
      </c>
      <c r="H317" s="18">
        <v>0</v>
      </c>
      <c r="I317" s="18">
        <v>44.825082926829268</v>
      </c>
      <c r="J317" s="18">
        <v>0</v>
      </c>
      <c r="K317" s="18"/>
      <c r="L317" s="19">
        <f>SUM(F317:K317)</f>
        <v>812.07462926829271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1244.1176487804878</v>
      </c>
      <c r="I320" s="18">
        <v>16.191395121951221</v>
      </c>
      <c r="J320" s="18">
        <v>0</v>
      </c>
      <c r="K320" s="18"/>
      <c r="L320" s="19">
        <f t="shared" si="16"/>
        <v>1260.309043902439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3420.5865170731709</v>
      </c>
      <c r="I326" s="18">
        <v>1994.5159317073171</v>
      </c>
      <c r="J326" s="18">
        <v>1641.4634146341464</v>
      </c>
      <c r="K326" s="18"/>
      <c r="L326" s="19">
        <f>SUM(F326:K326)</f>
        <v>7056.5658634146348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116919.62197073172</v>
      </c>
      <c r="G328" s="42">
        <f t="shared" si="17"/>
        <v>61236.501297560979</v>
      </c>
      <c r="H328" s="42">
        <f t="shared" si="17"/>
        <v>11366.539936585366</v>
      </c>
      <c r="I328" s="42">
        <f t="shared" si="17"/>
        <v>3314.6333365853661</v>
      </c>
      <c r="J328" s="42">
        <f t="shared" si="17"/>
        <v>2462.9830243902443</v>
      </c>
      <c r="K328" s="42">
        <f t="shared" si="17"/>
        <v>0</v>
      </c>
      <c r="L328" s="41">
        <f t="shared" si="17"/>
        <v>195300.27956585365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325970.55</v>
      </c>
      <c r="G338" s="41">
        <f t="shared" si="20"/>
        <v>153052.66</v>
      </c>
      <c r="H338" s="41">
        <f t="shared" si="20"/>
        <v>52970.869999999995</v>
      </c>
      <c r="I338" s="41">
        <f t="shared" si="20"/>
        <v>18462.72</v>
      </c>
      <c r="J338" s="41">
        <f t="shared" si="20"/>
        <v>19534.95</v>
      </c>
      <c r="K338" s="41">
        <f t="shared" si="20"/>
        <v>0</v>
      </c>
      <c r="L338" s="41">
        <f t="shared" si="20"/>
        <v>569991.75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325970.55</v>
      </c>
      <c r="G352" s="41">
        <f>G338</f>
        <v>153052.66</v>
      </c>
      <c r="H352" s="41">
        <f>H338</f>
        <v>52970.869999999995</v>
      </c>
      <c r="I352" s="41">
        <f>I338</f>
        <v>18462.72</v>
      </c>
      <c r="J352" s="41">
        <f>J338</f>
        <v>19534.95</v>
      </c>
      <c r="K352" s="47">
        <f>K338+K351</f>
        <v>0</v>
      </c>
      <c r="L352" s="41">
        <f>L338+L351</f>
        <v>569991.75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99151.158702439017</v>
      </c>
      <c r="G358" s="18">
        <v>18938.644624390243</v>
      </c>
      <c r="H358" s="18">
        <v>7950.3992731707312</v>
      </c>
      <c r="I358" s="18">
        <v>68357.106965853658</v>
      </c>
      <c r="J358" s="18">
        <v>7773.0095707317087</v>
      </c>
      <c r="K358" s="18">
        <v>460.97024390243905</v>
      </c>
      <c r="L358" s="13">
        <f>SUM(F358:K358)</f>
        <v>202631.28938048778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96172.368526829261</v>
      </c>
      <c r="G359" s="18">
        <v>18369.672468292683</v>
      </c>
      <c r="H359" s="18">
        <v>3495.996204878049</v>
      </c>
      <c r="I359" s="18">
        <v>77292.474224390244</v>
      </c>
      <c r="J359" s="18">
        <v>7539.4856780487808</v>
      </c>
      <c r="K359" s="18">
        <v>498.55268292682928</v>
      </c>
      <c r="L359" s="19">
        <f>SUM(F359:K359)</f>
        <v>203368.54978536585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95463.132770731696</v>
      </c>
      <c r="G360" s="18">
        <v>18234.202907317074</v>
      </c>
      <c r="H360" s="18">
        <v>5132.86452195122</v>
      </c>
      <c r="I360" s="18">
        <v>89427.938809756088</v>
      </c>
      <c r="J360" s="18">
        <v>7483.8847512195125</v>
      </c>
      <c r="K360" s="18">
        <v>433.97707317073173</v>
      </c>
      <c r="L360" s="19">
        <f>SUM(F360:K360)</f>
        <v>216176.00083414634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290786.65999999997</v>
      </c>
      <c r="G362" s="47">
        <f t="shared" si="22"/>
        <v>55542.520000000004</v>
      </c>
      <c r="H362" s="47">
        <f t="shared" si="22"/>
        <v>16579.260000000002</v>
      </c>
      <c r="I362" s="47">
        <f t="shared" si="22"/>
        <v>235077.51999999996</v>
      </c>
      <c r="J362" s="47">
        <f t="shared" si="22"/>
        <v>22796.38</v>
      </c>
      <c r="K362" s="47">
        <f t="shared" si="22"/>
        <v>1393.5</v>
      </c>
      <c r="L362" s="47">
        <f t="shared" si="22"/>
        <v>622175.84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62345.548019512193</v>
      </c>
      <c r="G367" s="18">
        <v>70824.87301463414</v>
      </c>
      <c r="H367" s="18">
        <v>82675.988965853656</v>
      </c>
      <c r="I367" s="56">
        <f>SUM(F367:H367)</f>
        <v>215846.40999999997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6011.5589463414635</v>
      </c>
      <c r="G368" s="63">
        <v>6467.6012097560979</v>
      </c>
      <c r="H368" s="63">
        <v>6751.9498439024392</v>
      </c>
      <c r="I368" s="56">
        <f>SUM(F368:H368)</f>
        <v>19231.11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68357.106965853658</v>
      </c>
      <c r="G369" s="47">
        <f>SUM(G367:G368)</f>
        <v>77292.474224390244</v>
      </c>
      <c r="H369" s="47">
        <f>SUM(H367:H368)</f>
        <v>89427.938809756102</v>
      </c>
      <c r="I369" s="47">
        <f>SUM(I367:I368)</f>
        <v>235077.51999999996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11.18</v>
      </c>
      <c r="I389" s="18"/>
      <c r="J389" s="24" t="s">
        <v>289</v>
      </c>
      <c r="K389" s="24" t="s">
        <v>289</v>
      </c>
      <c r="L389" s="56">
        <f t="shared" si="25"/>
        <v>11.18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11.18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11.18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0.48</v>
      </c>
      <c r="I396" s="18"/>
      <c r="J396" s="24" t="s">
        <v>289</v>
      </c>
      <c r="K396" s="24" t="s">
        <v>289</v>
      </c>
      <c r="L396" s="56">
        <f t="shared" si="26"/>
        <v>0.48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43.48</v>
      </c>
      <c r="I397" s="18"/>
      <c r="J397" s="24" t="s">
        <v>289</v>
      </c>
      <c r="K397" s="24" t="s">
        <v>289</v>
      </c>
      <c r="L397" s="56">
        <f t="shared" si="26"/>
        <v>43.48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56.03</v>
      </c>
      <c r="I400" s="18">
        <v>10091</v>
      </c>
      <c r="J400" s="24" t="s">
        <v>289</v>
      </c>
      <c r="K400" s="24" t="s">
        <v>289</v>
      </c>
      <c r="L400" s="56">
        <f t="shared" si="26"/>
        <v>10147.030000000001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99.99</v>
      </c>
      <c r="I401" s="47">
        <f>SUM(I395:I400)</f>
        <v>10091</v>
      </c>
      <c r="J401" s="45" t="s">
        <v>289</v>
      </c>
      <c r="K401" s="45" t="s">
        <v>289</v>
      </c>
      <c r="L401" s="47">
        <f>SUM(L395:L400)</f>
        <v>10190.99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111.16999999999999</v>
      </c>
      <c r="I408" s="47">
        <f>I393+I401+I407</f>
        <v>10091</v>
      </c>
      <c r="J408" s="24" t="s">
        <v>289</v>
      </c>
      <c r="K408" s="24" t="s">
        <v>289</v>
      </c>
      <c r="L408" s="47">
        <f>L393+L401+L407</f>
        <v>10202.17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17450</v>
      </c>
      <c r="I426" s="18"/>
      <c r="J426" s="18"/>
      <c r="K426" s="18"/>
      <c r="L426" s="56">
        <f t="shared" si="29"/>
        <v>17450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17450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17450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17450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17450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111030.63</v>
      </c>
      <c r="G440" s="18">
        <v>897825.96</v>
      </c>
      <c r="H440" s="18"/>
      <c r="I440" s="56">
        <f t="shared" si="33"/>
        <v>1008856.59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111030.63</v>
      </c>
      <c r="G446" s="13">
        <f>SUM(G439:G445)</f>
        <v>897825.96</v>
      </c>
      <c r="H446" s="13">
        <f>SUM(H439:H445)</f>
        <v>0</v>
      </c>
      <c r="I446" s="13">
        <f>SUM(I439:I445)</f>
        <v>1008856.59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111030.63</v>
      </c>
      <c r="G456" s="18">
        <v>897825.96</v>
      </c>
      <c r="H456" s="18"/>
      <c r="I456" s="56">
        <f t="shared" si="34"/>
        <v>1008856.59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111030.63</v>
      </c>
      <c r="G460" s="83">
        <f>SUM(G454:G459)</f>
        <v>897825.96</v>
      </c>
      <c r="H460" s="83">
        <f>SUM(H454:H459)</f>
        <v>0</v>
      </c>
      <c r="I460" s="83">
        <f>SUM(I454:I459)</f>
        <v>1008856.59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111030.63</v>
      </c>
      <c r="G461" s="42">
        <f>G452+G460</f>
        <v>897825.96</v>
      </c>
      <c r="H461" s="42">
        <f>H452+H460</f>
        <v>0</v>
      </c>
      <c r="I461" s="42">
        <f>I452+I460</f>
        <v>1008856.59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1097712.71+0.03</f>
        <v>1097712.74</v>
      </c>
      <c r="G465" s="18">
        <v>-38.909999999999997</v>
      </c>
      <c r="H465" s="18">
        <f>7632.36+0.16</f>
        <v>7632.5199999999995</v>
      </c>
      <c r="I465" s="18"/>
      <c r="J465" s="18">
        <v>1016104.4200000002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37519533.149999999</v>
      </c>
      <c r="G468" s="18">
        <v>622235.14</v>
      </c>
      <c r="H468" s="18">
        <v>598823.52</v>
      </c>
      <c r="I468" s="18">
        <v>0</v>
      </c>
      <c r="J468" s="18">
        <v>10202.17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37519533.149999999</v>
      </c>
      <c r="G470" s="53">
        <f>SUM(G468:G469)</f>
        <v>622235.14</v>
      </c>
      <c r="H470" s="53">
        <f>SUM(H468:H469)</f>
        <v>598823.52</v>
      </c>
      <c r="I470" s="53">
        <f>SUM(I468:I469)</f>
        <v>0</v>
      </c>
      <c r="J470" s="53">
        <f>SUM(J468:J469)</f>
        <v>10202.17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36812912.979999997</v>
      </c>
      <c r="G472" s="18">
        <v>622175.84</v>
      </c>
      <c r="H472" s="18">
        <v>569991.75</v>
      </c>
      <c r="I472" s="18"/>
      <c r="J472" s="18">
        <v>17450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36812912.979999997</v>
      </c>
      <c r="G474" s="53">
        <f>SUM(G472:G473)</f>
        <v>622175.84</v>
      </c>
      <c r="H474" s="53">
        <f>SUM(H472:H473)</f>
        <v>569991.75</v>
      </c>
      <c r="I474" s="53">
        <f>SUM(I472:I473)</f>
        <v>0</v>
      </c>
      <c r="J474" s="53">
        <f>SUM(J472:J473)</f>
        <v>17450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1804332.9100000039</v>
      </c>
      <c r="G476" s="53">
        <f>(G465+G470)- G474</f>
        <v>20.39000000001397</v>
      </c>
      <c r="H476" s="53">
        <f>(H465+H470)- H474</f>
        <v>36464.290000000037</v>
      </c>
      <c r="I476" s="53">
        <f>(I465+I470)- I474</f>
        <v>0</v>
      </c>
      <c r="J476" s="53">
        <f>(J465+J470)- J474</f>
        <v>1008856.5900000002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>
        <v>20</v>
      </c>
      <c r="J490" s="154">
        <v>20</v>
      </c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272" t="s">
        <v>911</v>
      </c>
      <c r="J491" s="272" t="s">
        <v>912</v>
      </c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272" t="s">
        <v>913</v>
      </c>
      <c r="J492" s="272" t="s">
        <v>914</v>
      </c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>
        <v>2300000</v>
      </c>
      <c r="J493" s="18">
        <v>20406711</v>
      </c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>
        <v>4.22</v>
      </c>
      <c r="J494" s="18">
        <v>4.09</v>
      </c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>
        <v>1035000</v>
      </c>
      <c r="J495" s="18">
        <v>10200000</v>
      </c>
      <c r="K495" s="53">
        <f>SUM(F495:J495)</f>
        <v>11235000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>
        <v>115000</v>
      </c>
      <c r="J497" s="18">
        <v>1020000</v>
      </c>
      <c r="K497" s="53">
        <f t="shared" si="35"/>
        <v>1135000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>
        <v>920000</v>
      </c>
      <c r="J498" s="204">
        <v>9180000</v>
      </c>
      <c r="K498" s="205">
        <f t="shared" si="35"/>
        <v>10100000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>
        <v>168245</v>
      </c>
      <c r="J499" s="18">
        <v>1835490</v>
      </c>
      <c r="K499" s="53">
        <f t="shared" si="35"/>
        <v>2003735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1088245</v>
      </c>
      <c r="J500" s="42">
        <f>SUM(J498:J499)</f>
        <v>11015490</v>
      </c>
      <c r="K500" s="42">
        <f t="shared" si="35"/>
        <v>12103735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>
        <v>115000</v>
      </c>
      <c r="J501" s="204">
        <v>1020000</v>
      </c>
      <c r="K501" s="205">
        <f t="shared" si="35"/>
        <v>1135000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>
        <v>38697.5</v>
      </c>
      <c r="J502" s="18">
        <v>374340</v>
      </c>
      <c r="K502" s="53">
        <f t="shared" si="35"/>
        <v>413037.5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153697.5</v>
      </c>
      <c r="J503" s="42">
        <f>SUM(J501:J502)</f>
        <v>1394340</v>
      </c>
      <c r="K503" s="42">
        <f t="shared" si="35"/>
        <v>1548037.5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1001049.4560975609</v>
      </c>
      <c r="G521" s="18">
        <v>383304.48026829265</v>
      </c>
      <c r="H521" s="18">
        <v>641003.73349268292</v>
      </c>
      <c r="I521" s="18">
        <v>3216.6399512195126</v>
      </c>
      <c r="J521" s="18">
        <v>3609.3902000000003</v>
      </c>
      <c r="K521" s="18">
        <v>4800</v>
      </c>
      <c r="L521" s="88">
        <f>SUM(F521:K521)</f>
        <v>2036983.700009756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1415800.0670731708</v>
      </c>
      <c r="G522" s="18">
        <v>545875.4039512194</v>
      </c>
      <c r="H522" s="18">
        <v>68078.405619512196</v>
      </c>
      <c r="I522" s="18">
        <v>7075.7874634146347</v>
      </c>
      <c r="J522" s="18">
        <v>2398.2944000000002</v>
      </c>
      <c r="K522" s="18">
        <v>4087.08</v>
      </c>
      <c r="L522" s="88">
        <f>SUM(F522:K522)</f>
        <v>2043315.0385073174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1294269.5468292681</v>
      </c>
      <c r="G523" s="18">
        <v>529614.06578048784</v>
      </c>
      <c r="H523" s="18">
        <v>386306.62088780489</v>
      </c>
      <c r="I523" s="18">
        <v>5259.022585365853</v>
      </c>
      <c r="J523" s="18">
        <v>1899.1354000000001</v>
      </c>
      <c r="K523" s="18">
        <v>4087.07</v>
      </c>
      <c r="L523" s="88">
        <f>SUM(F523:K523)</f>
        <v>2221435.4614829267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3711119.0700000003</v>
      </c>
      <c r="G524" s="108">
        <f t="shared" ref="G524:L524" si="36">SUM(G521:G523)</f>
        <v>1458793.95</v>
      </c>
      <c r="H524" s="108">
        <f t="shared" si="36"/>
        <v>1095388.76</v>
      </c>
      <c r="I524" s="108">
        <f t="shared" si="36"/>
        <v>15551.45</v>
      </c>
      <c r="J524" s="108">
        <f t="shared" si="36"/>
        <v>7906.8200000000006</v>
      </c>
      <c r="K524" s="108">
        <f t="shared" si="36"/>
        <v>12974.15</v>
      </c>
      <c r="L524" s="89">
        <f t="shared" si="36"/>
        <v>6301734.2000000002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364576.98</v>
      </c>
      <c r="G526" s="18">
        <v>150966.95000000001</v>
      </c>
      <c r="H526" s="18">
        <v>323047.70999999996</v>
      </c>
      <c r="I526" s="18">
        <v>4134.6499999999996</v>
      </c>
      <c r="J526" s="18">
        <v>79.989999999999995</v>
      </c>
      <c r="K526" s="18"/>
      <c r="L526" s="88">
        <f>SUM(F526:K526)</f>
        <v>842806.27999999991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172869.40999999997</v>
      </c>
      <c r="G527" s="18">
        <v>54088.29</v>
      </c>
      <c r="H527" s="18">
        <v>132462.41</v>
      </c>
      <c r="I527" s="18">
        <v>2400.3199999999997</v>
      </c>
      <c r="J527" s="18">
        <v>0</v>
      </c>
      <c r="K527" s="18"/>
      <c r="L527" s="88">
        <f>SUM(F527:K527)</f>
        <v>361820.43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145535.79999999999</v>
      </c>
      <c r="G528" s="18">
        <v>83480.450000000012</v>
      </c>
      <c r="H528" s="18">
        <v>40195.31</v>
      </c>
      <c r="I528" s="18">
        <v>3623.9300000000003</v>
      </c>
      <c r="J528" s="18">
        <v>878.19</v>
      </c>
      <c r="K528" s="18"/>
      <c r="L528" s="88">
        <f>SUM(F528:K528)</f>
        <v>273713.68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682982.19</v>
      </c>
      <c r="G529" s="89">
        <f t="shared" ref="G529:L529" si="37">SUM(G526:G528)</f>
        <v>288535.69000000006</v>
      </c>
      <c r="H529" s="89">
        <f t="shared" si="37"/>
        <v>495705.43</v>
      </c>
      <c r="I529" s="89">
        <f t="shared" si="37"/>
        <v>10158.9</v>
      </c>
      <c r="J529" s="89">
        <f t="shared" si="37"/>
        <v>958.18000000000006</v>
      </c>
      <c r="K529" s="89">
        <f t="shared" si="37"/>
        <v>0</v>
      </c>
      <c r="L529" s="89">
        <f t="shared" si="37"/>
        <v>1478340.39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108392.87334146342</v>
      </c>
      <c r="G531" s="18">
        <v>59856.711121951215</v>
      </c>
      <c r="H531" s="18">
        <v>2669.0598829268292</v>
      </c>
      <c r="I531" s="18">
        <v>643.88129268292687</v>
      </c>
      <c r="J531" s="18">
        <v>0</v>
      </c>
      <c r="K531" s="18">
        <v>484.1853658536586</v>
      </c>
      <c r="L531" s="88">
        <f>SUM(F531:K531)</f>
        <v>172046.71100487805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60304.503756097562</v>
      </c>
      <c r="G532" s="18">
        <v>24703.058341463417</v>
      </c>
      <c r="H532" s="18">
        <v>977.83791219512193</v>
      </c>
      <c r="I532" s="18">
        <v>624.53721951219518</v>
      </c>
      <c r="J532" s="18">
        <v>0</v>
      </c>
      <c r="K532" s="18">
        <v>469.63902439024395</v>
      </c>
      <c r="L532" s="88">
        <f>SUM(F532:K532)</f>
        <v>87079.576253658524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121972.27290243903</v>
      </c>
      <c r="G533" s="18">
        <v>58604.980536585368</v>
      </c>
      <c r="H533" s="18">
        <v>3064.0822048780487</v>
      </c>
      <c r="I533" s="18">
        <v>619.93148780487809</v>
      </c>
      <c r="J533" s="18">
        <v>0</v>
      </c>
      <c r="K533" s="18">
        <v>858.17560975609763</v>
      </c>
      <c r="L533" s="88">
        <f>SUM(F533:K533)</f>
        <v>185119.4427414634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290669.65000000002</v>
      </c>
      <c r="G534" s="89">
        <f t="shared" ref="G534:L534" si="38">SUM(G531:G533)</f>
        <v>143164.75</v>
      </c>
      <c r="H534" s="89">
        <f t="shared" si="38"/>
        <v>6710.98</v>
      </c>
      <c r="I534" s="89">
        <f t="shared" si="38"/>
        <v>1888.3500000000001</v>
      </c>
      <c r="J534" s="89">
        <f t="shared" si="38"/>
        <v>0</v>
      </c>
      <c r="K534" s="89">
        <f t="shared" si="38"/>
        <v>1812.0000000000002</v>
      </c>
      <c r="L534" s="89">
        <f t="shared" si="38"/>
        <v>444245.73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1405.2866487804879</v>
      </c>
      <c r="I536" s="18"/>
      <c r="J536" s="18"/>
      <c r="K536" s="18"/>
      <c r="L536" s="88">
        <f>SUM(F536:K536)</f>
        <v>1405.2866487804879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1363.067736585366</v>
      </c>
      <c r="I537" s="18"/>
      <c r="J537" s="18"/>
      <c r="K537" s="18"/>
      <c r="L537" s="88">
        <f>SUM(F537:K537)</f>
        <v>1363.067736585366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1353.0156146341465</v>
      </c>
      <c r="I538" s="18"/>
      <c r="J538" s="18"/>
      <c r="K538" s="18"/>
      <c r="L538" s="88">
        <f>SUM(F538:K538)</f>
        <v>1353.0156146341465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4121.3700000000008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4121.3700000000008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47251.45</v>
      </c>
      <c r="G541" s="18">
        <v>27959.27</v>
      </c>
      <c r="H541" s="18">
        <v>8872.7800000000007</v>
      </c>
      <c r="I541" s="18">
        <v>11455.13</v>
      </c>
      <c r="J541" s="18"/>
      <c r="K541" s="18"/>
      <c r="L541" s="88">
        <f>SUM(F541:K541)</f>
        <v>95538.63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45831.88</v>
      </c>
      <c r="G542" s="18">
        <v>27119.29</v>
      </c>
      <c r="H542" s="18">
        <v>5538.56</v>
      </c>
      <c r="I542" s="18">
        <v>11110.98</v>
      </c>
      <c r="J542" s="18"/>
      <c r="K542" s="18"/>
      <c r="L542" s="88">
        <f>SUM(F542:K542)</f>
        <v>89600.709999999992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45493.88</v>
      </c>
      <c r="G543" s="18">
        <v>26919.3</v>
      </c>
      <c r="H543" s="18">
        <v>20553.259999999998</v>
      </c>
      <c r="I543" s="18">
        <v>11029.04</v>
      </c>
      <c r="J543" s="18"/>
      <c r="K543" s="18"/>
      <c r="L543" s="88">
        <f>SUM(F543:K543)</f>
        <v>103995.47999999998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138577.21</v>
      </c>
      <c r="G544" s="193">
        <f t="shared" ref="G544:L544" si="40">SUM(G541:G543)</f>
        <v>81997.86</v>
      </c>
      <c r="H544" s="193">
        <f t="shared" si="40"/>
        <v>34964.6</v>
      </c>
      <c r="I544" s="193">
        <f t="shared" si="40"/>
        <v>33595.15</v>
      </c>
      <c r="J544" s="193">
        <f t="shared" si="40"/>
        <v>0</v>
      </c>
      <c r="K544" s="193">
        <f t="shared" si="40"/>
        <v>0</v>
      </c>
      <c r="L544" s="193">
        <f t="shared" si="40"/>
        <v>289134.81999999995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4823348.12</v>
      </c>
      <c r="G545" s="89">
        <f t="shared" ref="G545:L545" si="41">G524+G529+G534+G539+G544</f>
        <v>1972492.2500000002</v>
      </c>
      <c r="H545" s="89">
        <f t="shared" si="41"/>
        <v>1636891.1400000001</v>
      </c>
      <c r="I545" s="89">
        <f t="shared" si="41"/>
        <v>61193.85</v>
      </c>
      <c r="J545" s="89">
        <f t="shared" si="41"/>
        <v>8865</v>
      </c>
      <c r="K545" s="89">
        <f t="shared" si="41"/>
        <v>14786.15</v>
      </c>
      <c r="L545" s="89">
        <f t="shared" si="41"/>
        <v>8517576.5099999998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2036983.700009756</v>
      </c>
      <c r="G549" s="87">
        <f>L526</f>
        <v>842806.27999999991</v>
      </c>
      <c r="H549" s="87">
        <f>L531</f>
        <v>172046.71100487805</v>
      </c>
      <c r="I549" s="87">
        <f>L536</f>
        <v>1405.2866487804879</v>
      </c>
      <c r="J549" s="87">
        <f>L541</f>
        <v>95538.63</v>
      </c>
      <c r="K549" s="87">
        <f>SUM(F549:J549)</f>
        <v>3148780.6076634144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2043315.0385073174</v>
      </c>
      <c r="G550" s="87">
        <f>L527</f>
        <v>361820.43</v>
      </c>
      <c r="H550" s="87">
        <f>L532</f>
        <v>87079.576253658524</v>
      </c>
      <c r="I550" s="87">
        <f>L537</f>
        <v>1363.067736585366</v>
      </c>
      <c r="J550" s="87">
        <f>L542</f>
        <v>89600.709999999992</v>
      </c>
      <c r="K550" s="87">
        <f>SUM(F550:J550)</f>
        <v>2583178.8224975611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2221435.4614829267</v>
      </c>
      <c r="G551" s="87">
        <f>L528</f>
        <v>273713.68</v>
      </c>
      <c r="H551" s="87">
        <f>L533</f>
        <v>185119.4427414634</v>
      </c>
      <c r="I551" s="87">
        <f>L538</f>
        <v>1353.0156146341465</v>
      </c>
      <c r="J551" s="87">
        <f>L543</f>
        <v>103995.47999999998</v>
      </c>
      <c r="K551" s="87">
        <f>SUM(F551:J551)</f>
        <v>2785617.0798390242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6301734.2000000002</v>
      </c>
      <c r="G552" s="89">
        <f t="shared" si="42"/>
        <v>1478340.39</v>
      </c>
      <c r="H552" s="89">
        <f t="shared" si="42"/>
        <v>444245.73</v>
      </c>
      <c r="I552" s="89">
        <f t="shared" si="42"/>
        <v>4121.3700000000008</v>
      </c>
      <c r="J552" s="89">
        <f t="shared" si="42"/>
        <v>289134.81999999995</v>
      </c>
      <c r="K552" s="89">
        <f t="shared" si="42"/>
        <v>8517576.5099999998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81696.670000000013</v>
      </c>
      <c r="G562" s="18">
        <v>23088.270000000004</v>
      </c>
      <c r="H562" s="18"/>
      <c r="I562" s="18">
        <v>106.1</v>
      </c>
      <c r="J562" s="18"/>
      <c r="K562" s="18"/>
      <c r="L562" s="88">
        <f>SUM(F562:K562)</f>
        <v>104891.04000000002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>
        <v>24864</v>
      </c>
      <c r="I563" s="18">
        <v>95</v>
      </c>
      <c r="J563" s="18"/>
      <c r="K563" s="18"/>
      <c r="L563" s="88">
        <f>SUM(F563:K563)</f>
        <v>24959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1000</v>
      </c>
      <c r="G564" s="18"/>
      <c r="H564" s="18">
        <v>23864</v>
      </c>
      <c r="I564" s="18"/>
      <c r="J564" s="18"/>
      <c r="K564" s="18"/>
      <c r="L564" s="88">
        <f>SUM(F564:K564)</f>
        <v>24864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82696.670000000013</v>
      </c>
      <c r="G565" s="89">
        <f t="shared" si="44"/>
        <v>23088.270000000004</v>
      </c>
      <c r="H565" s="89">
        <f t="shared" si="44"/>
        <v>48728</v>
      </c>
      <c r="I565" s="89">
        <f t="shared" si="44"/>
        <v>201.1</v>
      </c>
      <c r="J565" s="89">
        <f t="shared" si="44"/>
        <v>0</v>
      </c>
      <c r="K565" s="89">
        <f t="shared" si="44"/>
        <v>0</v>
      </c>
      <c r="L565" s="89">
        <f t="shared" si="44"/>
        <v>154714.04000000004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82696.670000000013</v>
      </c>
      <c r="G571" s="89">
        <f t="shared" ref="G571:L571" si="46">G560+G565+G570</f>
        <v>23088.270000000004</v>
      </c>
      <c r="H571" s="89">
        <f t="shared" si="46"/>
        <v>48728</v>
      </c>
      <c r="I571" s="89">
        <f t="shared" si="46"/>
        <v>201.1</v>
      </c>
      <c r="J571" s="89">
        <f t="shared" si="46"/>
        <v>0</v>
      </c>
      <c r="K571" s="89">
        <f t="shared" si="46"/>
        <v>0</v>
      </c>
      <c r="L571" s="89">
        <f t="shared" si="46"/>
        <v>154714.04000000004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517022.30000000005</v>
      </c>
      <c r="G582" s="18">
        <v>39690</v>
      </c>
      <c r="H582" s="18">
        <v>297127.15000000002</v>
      </c>
      <c r="I582" s="87">
        <f t="shared" si="47"/>
        <v>853839.45000000007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21426.81</v>
      </c>
      <c r="I584" s="87">
        <f t="shared" si="47"/>
        <v>21426.81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763678.1100000001</v>
      </c>
      <c r="I591" s="18">
        <v>392052.43999999994</v>
      </c>
      <c r="J591" s="18">
        <v>389542.70000000007</v>
      </c>
      <c r="K591" s="104">
        <f t="shared" ref="K591:K597" si="48">SUM(H591:J591)</f>
        <v>1545273.25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138584.91</v>
      </c>
      <c r="I592" s="18">
        <v>67747.460000000006</v>
      </c>
      <c r="J592" s="18">
        <v>82802.45</v>
      </c>
      <c r="K592" s="104">
        <f t="shared" si="48"/>
        <v>289134.82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24539.1</v>
      </c>
      <c r="K593" s="104">
        <f t="shared" si="48"/>
        <v>24539.1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16861.240000000002</v>
      </c>
      <c r="I594" s="18">
        <v>8430.6200000000008</v>
      </c>
      <c r="J594" s="18">
        <v>8430.6099999999988</v>
      </c>
      <c r="K594" s="104">
        <f t="shared" si="48"/>
        <v>33722.47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16755.78</v>
      </c>
      <c r="I595" s="18">
        <v>11352.89</v>
      </c>
      <c r="J595" s="18">
        <v>4852.8800000000019</v>
      </c>
      <c r="K595" s="104">
        <f t="shared" si="48"/>
        <v>32961.550000000003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36326.99</v>
      </c>
      <c r="I597" s="18">
        <v>18163.5</v>
      </c>
      <c r="J597" s="18">
        <v>18163.479999999996</v>
      </c>
      <c r="K597" s="104">
        <f t="shared" si="48"/>
        <v>72653.97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972207.03000000014</v>
      </c>
      <c r="I598" s="108">
        <f>SUM(I591:I597)</f>
        <v>497746.91</v>
      </c>
      <c r="J598" s="108">
        <f>SUM(J591:J597)</f>
        <v>528331.22000000009</v>
      </c>
      <c r="K598" s="108">
        <f>SUM(K591:K597)</f>
        <v>1998285.1600000001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171509.19</v>
      </c>
      <c r="I604" s="18">
        <v>174645.26999999996</v>
      </c>
      <c r="J604" s="18">
        <v>185381.51</v>
      </c>
      <c r="K604" s="104">
        <f>SUM(H604:J604)</f>
        <v>531535.97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171509.19</v>
      </c>
      <c r="I605" s="108">
        <f>SUM(I602:I604)</f>
        <v>174645.26999999996</v>
      </c>
      <c r="J605" s="108">
        <f>SUM(J602:J604)</f>
        <v>185381.51</v>
      </c>
      <c r="K605" s="108">
        <f>SUM(K602:K604)</f>
        <v>531535.97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46738.520000000004</v>
      </c>
      <c r="G611" s="18">
        <v>5451.7800000000007</v>
      </c>
      <c r="H611" s="18">
        <v>29997.760000000002</v>
      </c>
      <c r="I611" s="18">
        <v>106.34</v>
      </c>
      <c r="J611" s="18">
        <v>1054.8699999999999</v>
      </c>
      <c r="K611" s="18"/>
      <c r="L611" s="88">
        <f>SUM(F611:K611)</f>
        <v>83349.26999999999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37930.449999999997</v>
      </c>
      <c r="G612" s="18">
        <v>5244.84</v>
      </c>
      <c r="H612" s="18">
        <v>1900.29</v>
      </c>
      <c r="I612" s="18">
        <v>285</v>
      </c>
      <c r="J612" s="18">
        <v>1023.18</v>
      </c>
      <c r="K612" s="18"/>
      <c r="L612" s="88">
        <f>SUM(F612:K612)</f>
        <v>46383.759999999995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35116.06</v>
      </c>
      <c r="G613" s="18">
        <v>4878.82</v>
      </c>
      <c r="H613" s="18">
        <v>5214.25</v>
      </c>
      <c r="I613" s="18">
        <v>256.33</v>
      </c>
      <c r="J613" s="18">
        <v>1015.64</v>
      </c>
      <c r="K613" s="18"/>
      <c r="L613" s="88">
        <f>SUM(F613:K613)</f>
        <v>46481.1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119785.03</v>
      </c>
      <c r="G614" s="108">
        <f t="shared" si="49"/>
        <v>15575.44</v>
      </c>
      <c r="H614" s="108">
        <f t="shared" si="49"/>
        <v>37112.300000000003</v>
      </c>
      <c r="I614" s="108">
        <f t="shared" si="49"/>
        <v>647.67000000000007</v>
      </c>
      <c r="J614" s="108">
        <f t="shared" si="49"/>
        <v>3093.6899999999996</v>
      </c>
      <c r="K614" s="108">
        <f t="shared" si="49"/>
        <v>0</v>
      </c>
      <c r="L614" s="89">
        <f t="shared" si="49"/>
        <v>176214.12999999998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2815789.4</v>
      </c>
      <c r="H617" s="109">
        <f>SUM(F52)</f>
        <v>2815789.4000000004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27727.420000000013</v>
      </c>
      <c r="H618" s="109">
        <f>SUM(G52)</f>
        <v>27727.420000000002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116887.26</v>
      </c>
      <c r="H619" s="109">
        <f>SUM(H52)</f>
        <v>116887.26000000001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1008856.59</v>
      </c>
      <c r="H621" s="109">
        <f>SUM(J52)</f>
        <v>1008856.59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1804332.9100000001</v>
      </c>
      <c r="H622" s="109">
        <f>F476</f>
        <v>1804332.9100000039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20.39</v>
      </c>
      <c r="H623" s="109">
        <f>G476</f>
        <v>20.39000000001397</v>
      </c>
      <c r="I623" s="121" t="s">
        <v>102</v>
      </c>
      <c r="J623" s="109">
        <f t="shared" si="50"/>
        <v>-1.396927018504357E-11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36464.29</v>
      </c>
      <c r="H624" s="109">
        <f>H476</f>
        <v>36464.290000000037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1008856.59</v>
      </c>
      <c r="H626" s="109">
        <f>J476</f>
        <v>1008856.5900000002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37519533.149999999</v>
      </c>
      <c r="H627" s="104">
        <f>SUM(F468)</f>
        <v>37519533.149999999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622235.14</v>
      </c>
      <c r="H628" s="104">
        <f>SUM(G468)</f>
        <v>622235.14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598823.52</v>
      </c>
      <c r="H629" s="104">
        <f>SUM(H468)</f>
        <v>598823.52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10202.17</v>
      </c>
      <c r="H631" s="104">
        <f>SUM(J468)</f>
        <v>10202.17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36812912.979999997</v>
      </c>
      <c r="H632" s="104">
        <f>SUM(F472)</f>
        <v>36812912.979999997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569991.75</v>
      </c>
      <c r="H633" s="104">
        <f>SUM(H472)</f>
        <v>569991.75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235077.51999999996</v>
      </c>
      <c r="H634" s="104">
        <f>I369</f>
        <v>235077.51999999996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622175.84</v>
      </c>
      <c r="H635" s="104">
        <f>SUM(G472)</f>
        <v>622175.84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10202.17</v>
      </c>
      <c r="H637" s="164">
        <f>SUM(J468)</f>
        <v>10202.17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17450</v>
      </c>
      <c r="H638" s="164">
        <f>SUM(J472)</f>
        <v>17450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111030.63</v>
      </c>
      <c r="H639" s="104">
        <f>SUM(F461)</f>
        <v>111030.63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897825.96</v>
      </c>
      <c r="H640" s="104">
        <f>SUM(G461)</f>
        <v>897825.96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1008856.59</v>
      </c>
      <c r="H642" s="104">
        <f>SUM(I461)</f>
        <v>1008856.59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111.17</v>
      </c>
      <c r="H644" s="104">
        <f>H408</f>
        <v>111.16999999999999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10202.17</v>
      </c>
      <c r="H646" s="104">
        <f>L408</f>
        <v>10202.17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1998285.1600000001</v>
      </c>
      <c r="H647" s="104">
        <f>L208+L226+L244</f>
        <v>1998285.16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531535.97</v>
      </c>
      <c r="H648" s="104">
        <f>(J257+J338)-(J255+J336)</f>
        <v>531535.97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972207.02999999991</v>
      </c>
      <c r="H649" s="104">
        <f>H598</f>
        <v>972207.03000000014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497746.91</v>
      </c>
      <c r="H650" s="104">
        <f>I598</f>
        <v>497746.91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528331.22</v>
      </c>
      <c r="H651" s="104">
        <f>J598</f>
        <v>528331.22000000009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55968.91</v>
      </c>
      <c r="H652" s="104">
        <f>K263+K345</f>
        <v>55968.91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12287753.819702437</v>
      </c>
      <c r="G660" s="19">
        <f>(L229+L309+L359)</f>
        <v>11474729.060526831</v>
      </c>
      <c r="H660" s="19">
        <f>(L247+L328+L360)</f>
        <v>12393140.709770733</v>
      </c>
      <c r="I660" s="19">
        <f>SUM(F660:H660)</f>
        <v>36155623.590000004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153515.30937078202</v>
      </c>
      <c r="G661" s="19">
        <f>(L359/IF(SUM(L358:L360)=0,1,SUM(L358:L360))*(SUM(G97:G110)))</f>
        <v>154073.86456473905</v>
      </c>
      <c r="H661" s="19">
        <f>(L360/IF(SUM(L358:L360)=0,1,SUM(L358:L360))*(SUM(G97:G110)))</f>
        <v>163776.90606447897</v>
      </c>
      <c r="I661" s="19">
        <f>SUM(F661:H661)</f>
        <v>471366.08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869059.34999999986</v>
      </c>
      <c r="G662" s="19">
        <f>(L226+L306)-(J226+J306)</f>
        <v>446333.06999999995</v>
      </c>
      <c r="H662" s="19">
        <f>(L244+L325)-(J244+J325)</f>
        <v>476757.38</v>
      </c>
      <c r="I662" s="19">
        <f>SUM(F662:H662)</f>
        <v>1792149.7999999998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771880.76</v>
      </c>
      <c r="G663" s="199">
        <f>SUM(G575:G587)+SUM(I602:I604)+L612</f>
        <v>260719.02999999997</v>
      </c>
      <c r="H663" s="199">
        <f>SUM(H575:H587)+SUM(J602:J604)+L613</f>
        <v>550416.57000000007</v>
      </c>
      <c r="I663" s="19">
        <f>SUM(F663:H663)</f>
        <v>1583016.36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10493298.400331656</v>
      </c>
      <c r="G664" s="19">
        <f>G660-SUM(G661:G663)</f>
        <v>10613603.095962092</v>
      </c>
      <c r="H664" s="19">
        <f>H660-SUM(H661:H663)</f>
        <v>11202189.853706254</v>
      </c>
      <c r="I664" s="19">
        <f>I660-SUM(I661:I663)</f>
        <v>32309091.350000001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647.39</v>
      </c>
      <c r="G665" s="248">
        <v>677.04</v>
      </c>
      <c r="H665" s="248">
        <v>676.05</v>
      </c>
      <c r="I665" s="19">
        <f>SUM(F665:H665)</f>
        <v>2000.4799999999998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16208.62</v>
      </c>
      <c r="G667" s="19">
        <f>ROUND(G664/G665,2)</f>
        <v>15676.48</v>
      </c>
      <c r="H667" s="19">
        <f>ROUND(H664/H665,2)</f>
        <v>16570.060000000001</v>
      </c>
      <c r="I667" s="19">
        <f>ROUND(I664/I665,2)</f>
        <v>16150.67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-8.7799999999999994</v>
      </c>
      <c r="I670" s="19">
        <f>SUM(F670:H670)</f>
        <v>-8.7799999999999994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16208.62</v>
      </c>
      <c r="G672" s="19">
        <f>ROUND((G664+G669)/(G665+G670),2)</f>
        <v>15676.48</v>
      </c>
      <c r="H672" s="19">
        <f>ROUND((H664+H669)/(H665+H670),2)</f>
        <v>16788.09</v>
      </c>
      <c r="I672" s="19">
        <f>ROUND((I664+I669)/(I665+I670),2)</f>
        <v>16221.87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A3" sqref="A3: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Oyster River Coop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10573460.280000001</v>
      </c>
      <c r="C9" s="229">
        <f>'DOE25'!G197+'DOE25'!G215+'DOE25'!G233+'DOE25'!G276+'DOE25'!G295+'DOE25'!G314</f>
        <v>4504238.28</v>
      </c>
    </row>
    <row r="10" spans="1:3" x14ac:dyDescent="0.2">
      <c r="A10" t="s">
        <v>779</v>
      </c>
      <c r="B10" s="240">
        <v>9747934.6300000008</v>
      </c>
      <c r="C10" s="240">
        <v>4152568.71</v>
      </c>
    </row>
    <row r="11" spans="1:3" x14ac:dyDescent="0.2">
      <c r="A11" t="s">
        <v>780</v>
      </c>
      <c r="B11" s="240">
        <v>213335.06000000006</v>
      </c>
      <c r="C11" s="240">
        <v>90879.61</v>
      </c>
    </row>
    <row r="12" spans="1:3" x14ac:dyDescent="0.2">
      <c r="A12" t="s">
        <v>781</v>
      </c>
      <c r="B12" s="240">
        <v>612190.59000000008</v>
      </c>
      <c r="C12" s="240">
        <v>260789.96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10573460.280000001</v>
      </c>
      <c r="C13" s="231">
        <f>SUM(C10:C12)</f>
        <v>4504238.28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3711607.7199999997</v>
      </c>
      <c r="C18" s="229">
        <f>'DOE25'!G198+'DOE25'!G216+'DOE25'!G234+'DOE25'!G277+'DOE25'!G296+'DOE25'!G315</f>
        <v>1470506</v>
      </c>
    </row>
    <row r="19" spans="1:3" x14ac:dyDescent="0.2">
      <c r="A19" t="s">
        <v>779</v>
      </c>
      <c r="B19" s="240">
        <v>2043753.29</v>
      </c>
      <c r="C19" s="240">
        <v>809716.9</v>
      </c>
    </row>
    <row r="20" spans="1:3" x14ac:dyDescent="0.2">
      <c r="A20" t="s">
        <v>780</v>
      </c>
      <c r="B20" s="240">
        <v>1452832.1099999999</v>
      </c>
      <c r="C20" s="240">
        <v>575599.17000000004</v>
      </c>
    </row>
    <row r="21" spans="1:3" x14ac:dyDescent="0.2">
      <c r="A21" t="s">
        <v>781</v>
      </c>
      <c r="B21" s="240">
        <v>215022.32</v>
      </c>
      <c r="C21" s="240">
        <v>85189.93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3711607.7199999997</v>
      </c>
      <c r="C22" s="231">
        <f>SUM(C19:C21)</f>
        <v>1470506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424448.03</v>
      </c>
      <c r="C36" s="235">
        <f>'DOE25'!G200+'DOE25'!G218+'DOE25'!G236+'DOE25'!G279+'DOE25'!G298+'DOE25'!G317</f>
        <v>83302.720000000016</v>
      </c>
    </row>
    <row r="37" spans="1:3" x14ac:dyDescent="0.2">
      <c r="A37" t="s">
        <v>779</v>
      </c>
      <c r="B37" s="240">
        <v>122862.35</v>
      </c>
      <c r="C37" s="240">
        <v>24113.119999999999</v>
      </c>
    </row>
    <row r="38" spans="1:3" x14ac:dyDescent="0.2">
      <c r="A38" t="s">
        <v>780</v>
      </c>
      <c r="B38" s="240">
        <v>37774</v>
      </c>
      <c r="C38" s="240">
        <v>7413.57</v>
      </c>
    </row>
    <row r="39" spans="1:3" x14ac:dyDescent="0.2">
      <c r="A39" t="s">
        <v>781</v>
      </c>
      <c r="B39" s="240">
        <v>263811.68</v>
      </c>
      <c r="C39" s="240">
        <v>51776.03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424448.03</v>
      </c>
      <c r="C40" s="231">
        <f>SUM(C37:C39)</f>
        <v>83302.720000000001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activeCell="F46" sqref="F46"/>
      <selection pane="bottomLeft" activeCell="D35" sqref="D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Oyster River Coop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22144796.690000001</v>
      </c>
      <c r="D5" s="20">
        <f>SUM('DOE25'!L197:L200)+SUM('DOE25'!L215:L218)+SUM('DOE25'!L233:L236)-F5-G5</f>
        <v>21905861.620000001</v>
      </c>
      <c r="E5" s="243"/>
      <c r="F5" s="255">
        <f>SUM('DOE25'!J197:J200)+SUM('DOE25'!J215:J218)+SUM('DOE25'!J233:J236)</f>
        <v>186646.53999999998</v>
      </c>
      <c r="G5" s="53">
        <f>SUM('DOE25'!K197:K200)+SUM('DOE25'!K215:K218)+SUM('DOE25'!K233:K236)</f>
        <v>52288.53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3671183.3200000003</v>
      </c>
      <c r="D6" s="20">
        <f>'DOE25'!L202+'DOE25'!L220+'DOE25'!L238-F6-G6</f>
        <v>3651713.5400000005</v>
      </c>
      <c r="E6" s="243"/>
      <c r="F6" s="255">
        <f>'DOE25'!J202+'DOE25'!J220+'DOE25'!J238</f>
        <v>12311.28</v>
      </c>
      <c r="G6" s="53">
        <f>'DOE25'!K202+'DOE25'!K220+'DOE25'!K238</f>
        <v>7158.5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972681.41000000015</v>
      </c>
      <c r="D7" s="20">
        <f>'DOE25'!L203+'DOE25'!L221+'DOE25'!L239-F7-G7</f>
        <v>947350.89000000013</v>
      </c>
      <c r="E7" s="243"/>
      <c r="F7" s="255">
        <f>'DOE25'!J203+'DOE25'!J221+'DOE25'!J239</f>
        <v>25111.520000000004</v>
      </c>
      <c r="G7" s="53">
        <f>'DOE25'!K203+'DOE25'!K221+'DOE25'!K239</f>
        <v>219.00000000000003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495763.62999999977</v>
      </c>
      <c r="D8" s="243"/>
      <c r="E8" s="20">
        <f>'DOE25'!L204+'DOE25'!L222+'DOE25'!L240-F8-G8-D9-D11</f>
        <v>478757.1599999998</v>
      </c>
      <c r="F8" s="255">
        <f>'DOE25'!J204+'DOE25'!J222+'DOE25'!J240</f>
        <v>0</v>
      </c>
      <c r="G8" s="53">
        <f>'DOE25'!K204+'DOE25'!K222+'DOE25'!K240</f>
        <v>17006.47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187436.26</v>
      </c>
      <c r="D9" s="244">
        <v>187436.26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24500</v>
      </c>
      <c r="D10" s="243"/>
      <c r="E10" s="244">
        <v>24500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501313.88</v>
      </c>
      <c r="D11" s="244">
        <v>501313.88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1472125.3599999999</v>
      </c>
      <c r="D12" s="20">
        <f>'DOE25'!L205+'DOE25'!L223+'DOE25'!L241-F12-G12</f>
        <v>1463369.3399999999</v>
      </c>
      <c r="E12" s="243"/>
      <c r="F12" s="255">
        <f>'DOE25'!J205+'DOE25'!J223+'DOE25'!J241</f>
        <v>0</v>
      </c>
      <c r="G12" s="53">
        <f>'DOE25'!K205+'DOE25'!K223+'DOE25'!K241</f>
        <v>8756.02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63839.58</v>
      </c>
      <c r="D13" s="243"/>
      <c r="E13" s="20">
        <f>'DOE25'!L206+'DOE25'!L224+'DOE25'!L242-F13-G13</f>
        <v>60697.54</v>
      </c>
      <c r="F13" s="255">
        <f>'DOE25'!J206+'DOE25'!J224+'DOE25'!J242</f>
        <v>0</v>
      </c>
      <c r="G13" s="53">
        <f>'DOE25'!K206+'DOE25'!K224+'DOE25'!K242</f>
        <v>3142.04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3456030.7100000004</v>
      </c>
      <c r="D14" s="20">
        <f>'DOE25'!L207+'DOE25'!L225+'DOE25'!L243-F14-G14</f>
        <v>3374394.3900000006</v>
      </c>
      <c r="E14" s="243"/>
      <c r="F14" s="255">
        <f>'DOE25'!J207+'DOE25'!J225+'DOE25'!J243</f>
        <v>81636.320000000007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1998285.16</v>
      </c>
      <c r="D15" s="20">
        <f>'DOE25'!L208+'DOE25'!L226+'DOE25'!L244-F15-G15</f>
        <v>1790593.64</v>
      </c>
      <c r="E15" s="243"/>
      <c r="F15" s="255">
        <f>'DOE25'!J208+'DOE25'!J226+'DOE25'!J244</f>
        <v>206295.36</v>
      </c>
      <c r="G15" s="53">
        <f>'DOE25'!K208+'DOE25'!K226+'DOE25'!K244</f>
        <v>1396.16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201268.07</v>
      </c>
      <c r="D22" s="243"/>
      <c r="E22" s="243"/>
      <c r="F22" s="255">
        <f>'DOE25'!L255+'DOE25'!L336</f>
        <v>201268.07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1592220</v>
      </c>
      <c r="D25" s="243"/>
      <c r="E25" s="243"/>
      <c r="F25" s="258"/>
      <c r="G25" s="256"/>
      <c r="H25" s="257">
        <f>'DOE25'!L260+'DOE25'!L261+'DOE25'!L341+'DOE25'!L342</f>
        <v>1592220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406329.43</v>
      </c>
      <c r="D29" s="20">
        <f>'DOE25'!L358+'DOE25'!L359+'DOE25'!L360-'DOE25'!I367-F29-G29</f>
        <v>382139.55</v>
      </c>
      <c r="E29" s="243"/>
      <c r="F29" s="255">
        <f>'DOE25'!J358+'DOE25'!J359+'DOE25'!J360</f>
        <v>22796.38</v>
      </c>
      <c r="G29" s="53">
        <f>'DOE25'!K358+'DOE25'!K359+'DOE25'!K360</f>
        <v>1393.5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569991.75</v>
      </c>
      <c r="D31" s="20">
        <f>'DOE25'!L290+'DOE25'!L309+'DOE25'!L328+'DOE25'!L333+'DOE25'!L334+'DOE25'!L335-F31-G31</f>
        <v>550456.80000000005</v>
      </c>
      <c r="E31" s="243"/>
      <c r="F31" s="255">
        <f>'DOE25'!J290+'DOE25'!J309+'DOE25'!J328+'DOE25'!J333+'DOE25'!J334+'DOE25'!J335</f>
        <v>19534.95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34754629.909999996</v>
      </c>
      <c r="E33" s="246">
        <f>SUM(E5:E31)</f>
        <v>563954.69999999984</v>
      </c>
      <c r="F33" s="246">
        <f>SUM(F5:F31)</f>
        <v>755600.41999999993</v>
      </c>
      <c r="G33" s="246">
        <f>SUM(G5:G31)</f>
        <v>91360.22</v>
      </c>
      <c r="H33" s="246">
        <f>SUM(H5:H31)</f>
        <v>1592220</v>
      </c>
    </row>
    <row r="35" spans="2:8" ht="12" thickBot="1" x14ac:dyDescent="0.25">
      <c r="B35" s="253" t="s">
        <v>847</v>
      </c>
      <c r="D35" s="254">
        <f>E33</f>
        <v>563954.69999999984</v>
      </c>
      <c r="E35" s="249"/>
    </row>
    <row r="36" spans="2:8" ht="12" thickTop="1" x14ac:dyDescent="0.2">
      <c r="B36" t="s">
        <v>815</v>
      </c>
      <c r="D36" s="20">
        <f>D33</f>
        <v>34754629.909999996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I44" sqref="I4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2249040.7999999998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1008856.59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69952.959999999992</v>
      </c>
      <c r="D11" s="95">
        <f>'DOE25'!G12</f>
        <v>6089.9200000000128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116887.26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461855.19</v>
      </c>
      <c r="D13" s="95">
        <f>'DOE25'!G14</f>
        <v>21637.5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34940.449999999997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2815789.4</v>
      </c>
      <c r="D18" s="41">
        <f>SUM(D8:D17)</f>
        <v>27727.420000000013</v>
      </c>
      <c r="E18" s="41">
        <f>SUM(E8:E17)</f>
        <v>116887.26</v>
      </c>
      <c r="F18" s="41">
        <f>SUM(F8:F17)</f>
        <v>0</v>
      </c>
      <c r="G18" s="41">
        <f>SUM(G8:G17)</f>
        <v>1008856.59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76042.880000000005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322297.59999999998</v>
      </c>
      <c r="D23" s="95">
        <f>'DOE25'!G24</f>
        <v>2292.06</v>
      </c>
      <c r="E23" s="95">
        <f>'DOE25'!H24</f>
        <v>4380.09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689158.89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25414.97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1011456.49</v>
      </c>
      <c r="D31" s="41">
        <f>SUM(D21:D30)</f>
        <v>27707.030000000002</v>
      </c>
      <c r="E31" s="41">
        <f>SUM(E21:E30)</f>
        <v>80422.97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20.39</v>
      </c>
      <c r="E42" s="95">
        <f>'DOE25'!H43</f>
        <v>36464.29</v>
      </c>
      <c r="F42" s="95">
        <f>'DOE25'!I43</f>
        <v>0</v>
      </c>
      <c r="G42" s="95">
        <f>'DOE25'!J43</f>
        <v>1008856.59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500000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921433.87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382899.04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1804332.9100000001</v>
      </c>
      <c r="D50" s="41">
        <f>SUM(D34:D49)</f>
        <v>20.39</v>
      </c>
      <c r="E50" s="41">
        <f>SUM(E34:E49)</f>
        <v>36464.29</v>
      </c>
      <c r="F50" s="41">
        <f>SUM(F34:F49)</f>
        <v>0</v>
      </c>
      <c r="G50" s="41">
        <f>SUM(G34:G49)</f>
        <v>1008856.59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2815789.4000000004</v>
      </c>
      <c r="D51" s="41">
        <f>D50+D31</f>
        <v>27727.420000000002</v>
      </c>
      <c r="E51" s="41">
        <f>E50+E31</f>
        <v>116887.26000000001</v>
      </c>
      <c r="F51" s="41">
        <f>F50+F31</f>
        <v>0</v>
      </c>
      <c r="G51" s="41">
        <f>G50+G31</f>
        <v>1008856.59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26691344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1074971.6000000001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35182.720000000001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4541.78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111.17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470616.08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157794.13</v>
      </c>
      <c r="D61" s="95">
        <f>SUM('DOE25'!G98:G110)</f>
        <v>750</v>
      </c>
      <c r="E61" s="95">
        <f>SUM('DOE25'!H98:H110)</f>
        <v>56914.12</v>
      </c>
      <c r="F61" s="95">
        <f>SUM('DOE25'!I98:I110)</f>
        <v>0</v>
      </c>
      <c r="G61" s="95">
        <f>SUM('DOE25'!J98:J110)</f>
        <v>10091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1272490.23</v>
      </c>
      <c r="D62" s="130">
        <f>SUM(D57:D61)</f>
        <v>471366.08</v>
      </c>
      <c r="E62" s="130">
        <f>SUM(E57:E61)</f>
        <v>56914.12</v>
      </c>
      <c r="F62" s="130">
        <f>SUM(F57:F61)</f>
        <v>0</v>
      </c>
      <c r="G62" s="130">
        <f>SUM(G57:G61)</f>
        <v>10202.17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27963834.23</v>
      </c>
      <c r="D63" s="22">
        <f>D56+D62</f>
        <v>471366.08</v>
      </c>
      <c r="E63" s="22">
        <f>E56+E62</f>
        <v>56914.12</v>
      </c>
      <c r="F63" s="22">
        <f>F56+F62</f>
        <v>0</v>
      </c>
      <c r="G63" s="22">
        <f>G56+G62</f>
        <v>10202.17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4770190.3099999996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3659276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8429466.3099999987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523742.08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245785.84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4399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4560.37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773926.92</v>
      </c>
      <c r="D78" s="130">
        <f>SUM(D72:D77)</f>
        <v>4560.37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9203393.2299999986</v>
      </c>
      <c r="D81" s="130">
        <f>SUM(D79:D80)+D78+D70</f>
        <v>4560.37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352305.69</v>
      </c>
      <c r="D88" s="95">
        <f>SUM('DOE25'!G153:G161)</f>
        <v>90339.78</v>
      </c>
      <c r="E88" s="95">
        <f>SUM('DOE25'!H153:H161)</f>
        <v>541909.4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352305.69</v>
      </c>
      <c r="D91" s="131">
        <f>SUM(D85:D90)</f>
        <v>90339.78</v>
      </c>
      <c r="E91" s="131">
        <f>SUM(E85:E90)</f>
        <v>541909.4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55968.91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55968.91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37519533.149999999</v>
      </c>
      <c r="D104" s="86">
        <f>D63+D81+D91+D103</f>
        <v>622235.14</v>
      </c>
      <c r="E104" s="86">
        <f>E63+E81+E91+E103</f>
        <v>598823.52</v>
      </c>
      <c r="F104" s="86">
        <f>F63+F81+F91+F103</f>
        <v>0</v>
      </c>
      <c r="G104" s="86">
        <f>G63+G81+G103</f>
        <v>10202.17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15506618.460000001</v>
      </c>
      <c r="D109" s="24" t="s">
        <v>289</v>
      </c>
      <c r="E109" s="95">
        <f>('DOE25'!L276)+('DOE25'!L295)+('DOE25'!L314)</f>
        <v>128975.78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5910276.7199999997</v>
      </c>
      <c r="D110" s="24" t="s">
        <v>289</v>
      </c>
      <c r="E110" s="95">
        <f>('DOE25'!L277)+('DOE25'!L296)+('DOE25'!L315)</f>
        <v>412933.62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21426.81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706474.7</v>
      </c>
      <c r="D112" s="24" t="s">
        <v>289</v>
      </c>
      <c r="E112" s="95">
        <f>+('DOE25'!L279)+('DOE25'!L298)+('DOE25'!L317)</f>
        <v>2473.63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22144796.689999998</v>
      </c>
      <c r="D115" s="86">
        <f>SUM(D109:D114)</f>
        <v>0</v>
      </c>
      <c r="E115" s="86">
        <f>SUM(E109:E114)</f>
        <v>544383.03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3671183.3200000003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972681.41000000015</v>
      </c>
      <c r="D119" s="24" t="s">
        <v>289</v>
      </c>
      <c r="E119" s="95">
        <f>+('DOE25'!L282)+('DOE25'!L301)+('DOE25'!L320)</f>
        <v>3838.9800000000005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1184513.7699999998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1472125.3599999999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63839.58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3456030.7100000004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1998285.16</v>
      </c>
      <c r="D124" s="24" t="s">
        <v>289</v>
      </c>
      <c r="E124" s="95">
        <f>+('DOE25'!L287)+('DOE25'!L306)+('DOE25'!L325)</f>
        <v>160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21609.74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622175.84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12818659.310000001</v>
      </c>
      <c r="D128" s="86">
        <f>SUM(D118:D127)</f>
        <v>622175.84</v>
      </c>
      <c r="E128" s="86">
        <f>SUM(E118:E127)</f>
        <v>25608.720000000001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201268.07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457220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55968.91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11.18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10190.99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-10202.17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1849456.98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36812912.979999997</v>
      </c>
      <c r="D145" s="86">
        <f>(D115+D128+D144)</f>
        <v>622175.84</v>
      </c>
      <c r="E145" s="86">
        <f>(E115+E128+E144)</f>
        <v>569991.75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20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 t="str">
        <f>'DOE25'!I491</f>
        <v>11/01</v>
      </c>
      <c r="F152" s="152" t="str">
        <f>'DOE25'!J491</f>
        <v>08/03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 t="str">
        <f>'DOE25'!I492</f>
        <v>11/21</v>
      </c>
      <c r="F153" s="152" t="str">
        <f>'DOE25'!J492</f>
        <v>02/23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2300000</v>
      </c>
      <c r="F154" s="137">
        <f>'DOE25'!J493</f>
        <v>20406711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4.22</v>
      </c>
      <c r="F155" s="137">
        <f>'DOE25'!J494</f>
        <v>4.09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1035000</v>
      </c>
      <c r="F156" s="137">
        <f>'DOE25'!J495</f>
        <v>10200000</v>
      </c>
      <c r="G156" s="138">
        <f>SUM(B156:F156)</f>
        <v>11235000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115000</v>
      </c>
      <c r="F158" s="137">
        <f>'DOE25'!J497</f>
        <v>1020000</v>
      </c>
      <c r="G158" s="138">
        <f t="shared" si="0"/>
        <v>1135000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920000</v>
      </c>
      <c r="F159" s="137">
        <f>'DOE25'!J498</f>
        <v>9180000</v>
      </c>
      <c r="G159" s="138">
        <f t="shared" si="0"/>
        <v>10100000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168245</v>
      </c>
      <c r="F160" s="137">
        <f>'DOE25'!J499</f>
        <v>1835490</v>
      </c>
      <c r="G160" s="138">
        <f t="shared" si="0"/>
        <v>2003735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1088245</v>
      </c>
      <c r="F161" s="137">
        <f>'DOE25'!J500</f>
        <v>11015490</v>
      </c>
      <c r="G161" s="138">
        <f t="shared" si="0"/>
        <v>12103735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115000</v>
      </c>
      <c r="F162" s="137">
        <f>'DOE25'!J501</f>
        <v>1020000</v>
      </c>
      <c r="G162" s="138">
        <f t="shared" si="0"/>
        <v>1135000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38697.5</v>
      </c>
      <c r="F163" s="137">
        <f>'DOE25'!J502</f>
        <v>374340</v>
      </c>
      <c r="G163" s="138">
        <f t="shared" si="0"/>
        <v>413037.5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153697.5</v>
      </c>
      <c r="F164" s="137">
        <f>'DOE25'!J503</f>
        <v>1394340</v>
      </c>
      <c r="G164" s="138">
        <f t="shared" si="0"/>
        <v>1548037.5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6" sqref="B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Oyster River Coop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16209</v>
      </c>
    </row>
    <row r="5" spans="1:4" x14ac:dyDescent="0.2">
      <c r="B5" t="s">
        <v>704</v>
      </c>
      <c r="C5" s="179">
        <f>IF('DOE25'!G665+'DOE25'!G670=0,0,ROUND('DOE25'!G672,0))</f>
        <v>15676</v>
      </c>
    </row>
    <row r="6" spans="1:4" x14ac:dyDescent="0.2">
      <c r="B6" t="s">
        <v>62</v>
      </c>
      <c r="C6" s="179">
        <f>IF('DOE25'!H665+'DOE25'!H670=0,0,ROUND('DOE25'!H672,0))</f>
        <v>16788</v>
      </c>
    </row>
    <row r="7" spans="1:4" x14ac:dyDescent="0.2">
      <c r="B7" t="s">
        <v>705</v>
      </c>
      <c r="C7" s="179">
        <f>IF('DOE25'!I665+'DOE25'!I670=0,0,ROUND('DOE25'!I672,0))</f>
        <v>16222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15635594</v>
      </c>
      <c r="D10" s="182">
        <f>ROUND((C10/$C$28)*100,1)</f>
        <v>43.3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6323210</v>
      </c>
      <c r="D11" s="182">
        <f>ROUND((C11/$C$28)*100,1)</f>
        <v>17.5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21427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708948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3671183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976520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1206124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1472125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63840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3456031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1998445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457220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150809.91999999998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36141476.920000002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201268</v>
      </c>
    </row>
    <row r="30" spans="1:4" x14ac:dyDescent="0.2">
      <c r="B30" s="187" t="s">
        <v>729</v>
      </c>
      <c r="C30" s="180">
        <f>SUM(C28:C29)</f>
        <v>36342744.920000002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1135000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26691344</v>
      </c>
      <c r="D35" s="182">
        <f t="shared" ref="D35:D40" si="1">ROUND((C35/$C$41)*100,1)</f>
        <v>69.8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1339606.5200000033</v>
      </c>
      <c r="D36" s="182">
        <f t="shared" si="1"/>
        <v>3.5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8429466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778487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984555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38223458.520000003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292" t="s">
        <v>767</v>
      </c>
      <c r="B2" s="293"/>
      <c r="C2" s="293"/>
      <c r="D2" s="293"/>
      <c r="E2" s="293"/>
      <c r="F2" s="298" t="str">
        <f>'DOE25'!A2</f>
        <v>Oyster River Coop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7</v>
      </c>
      <c r="B4" s="219">
        <v>9</v>
      </c>
      <c r="C4" s="283" t="s">
        <v>915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8</v>
      </c>
      <c r="B5" s="219">
        <v>9</v>
      </c>
      <c r="C5" s="283" t="s">
        <v>916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9</v>
      </c>
      <c r="B6" s="219">
        <v>9</v>
      </c>
      <c r="C6" s="283" t="s">
        <v>917</v>
      </c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24</v>
      </c>
      <c r="C7" s="283" t="s">
        <v>918</v>
      </c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A7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0:M40"/>
    <mergeCell ref="P40:Z40"/>
    <mergeCell ref="AC40:AM40"/>
    <mergeCell ref="BP39:BZ39"/>
    <mergeCell ref="CC39:CM39"/>
    <mergeCell ref="CP39:CZ39"/>
    <mergeCell ref="BP38:BZ38"/>
    <mergeCell ref="CC38:CM38"/>
    <mergeCell ref="CP38:CZ38"/>
    <mergeCell ref="BC38:BM38"/>
    <mergeCell ref="P39:Z39"/>
    <mergeCell ref="AC39:AM39"/>
    <mergeCell ref="AP39:AZ39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HC39:HM39"/>
    <mergeCell ref="DC39:DM39"/>
    <mergeCell ref="DP39:DZ39"/>
    <mergeCell ref="EC39:EM39"/>
    <mergeCell ref="GC39:GM39"/>
    <mergeCell ref="GC32:GM32"/>
    <mergeCell ref="EC32:EM32"/>
    <mergeCell ref="FC32:FM32"/>
    <mergeCell ref="HP39:H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BP32:BZ32"/>
    <mergeCell ref="FP30:FZ30"/>
    <mergeCell ref="FC31:FM31"/>
    <mergeCell ref="FP31:FZ31"/>
    <mergeCell ref="CP31:CZ31"/>
    <mergeCell ref="FP32:FZ32"/>
    <mergeCell ref="EC30:EM30"/>
    <mergeCell ref="EP30:EZ30"/>
    <mergeCell ref="DP32:DZ32"/>
    <mergeCell ref="GC31:GM31"/>
    <mergeCell ref="GP31:GZ31"/>
    <mergeCell ref="HC31:HM31"/>
    <mergeCell ref="IP30:IV30"/>
    <mergeCell ref="AP40:AZ40"/>
    <mergeCell ref="BC31:BM31"/>
    <mergeCell ref="BC32:BM32"/>
    <mergeCell ref="BC39:BM39"/>
    <mergeCell ref="BP31:BZ31"/>
    <mergeCell ref="CC31:CM31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DC30:DM30"/>
    <mergeCell ref="DP30:DZ30"/>
    <mergeCell ref="CC32:CM32"/>
    <mergeCell ref="DC32:DM32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FC30:FM30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EC29:EM29"/>
    <mergeCell ref="EP29:EZ29"/>
    <mergeCell ref="FC29:FM29"/>
    <mergeCell ref="CP29:CZ29"/>
    <mergeCell ref="DP29:DZ29"/>
    <mergeCell ref="DC29:DM29"/>
    <mergeCell ref="BC29:B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C17:M17"/>
    <mergeCell ref="C18:M18"/>
    <mergeCell ref="C19:M19"/>
    <mergeCell ref="C20:M20"/>
    <mergeCell ref="AP29:AZ29"/>
    <mergeCell ref="C21:M21"/>
    <mergeCell ref="C22:M22"/>
    <mergeCell ref="C23:M23"/>
    <mergeCell ref="C24:M24"/>
    <mergeCell ref="C25:M25"/>
    <mergeCell ref="C26:M26"/>
    <mergeCell ref="C27:M27"/>
    <mergeCell ref="C32:M32"/>
    <mergeCell ref="C30:M30"/>
    <mergeCell ref="C31:M31"/>
    <mergeCell ref="P31:Z31"/>
    <mergeCell ref="AC31:AM31"/>
    <mergeCell ref="AP31:AZ31"/>
    <mergeCell ref="P32:Z32"/>
    <mergeCell ref="C28:M28"/>
    <mergeCell ref="C39:M39"/>
    <mergeCell ref="C29:M29"/>
    <mergeCell ref="C34:M34"/>
    <mergeCell ref="C35:M35"/>
    <mergeCell ref="C36:M36"/>
    <mergeCell ref="C38:M38"/>
    <mergeCell ref="AC32:AM32"/>
    <mergeCell ref="AP32:AZ32"/>
    <mergeCell ref="P38:Z38"/>
    <mergeCell ref="AC38:AM38"/>
    <mergeCell ref="AP38:AZ38"/>
    <mergeCell ref="C76:M76"/>
    <mergeCell ref="C66:M66"/>
    <mergeCell ref="C70:M70"/>
    <mergeCell ref="A72:E72"/>
    <mergeCell ref="C73:M73"/>
    <mergeCell ref="C74:M74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3:M53"/>
    <mergeCell ref="C54:M54"/>
    <mergeCell ref="C55:M55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5:M75"/>
    <mergeCell ref="C67:M67"/>
    <mergeCell ref="C68:M68"/>
    <mergeCell ref="C69:M69"/>
    <mergeCell ref="C63:M63"/>
    <mergeCell ref="C64:M64"/>
    <mergeCell ref="C65:M65"/>
    <mergeCell ref="C60:M60"/>
    <mergeCell ref="C58:M58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2014-12-05T17:20:04Z</dcterms:modified>
</cp:coreProperties>
</file>