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F662" i="1" s="1"/>
  <c r="I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E120" i="2" s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C19" i="10"/>
  <c r="C21" i="10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C29" i="10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E114" i="2"/>
  <c r="D115" i="2"/>
  <c r="F115" i="2"/>
  <c r="G115" i="2"/>
  <c r="E121" i="2"/>
  <c r="C122" i="2"/>
  <c r="E122" i="2"/>
  <c r="E123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I470" i="1"/>
  <c r="J470" i="1"/>
  <c r="F474" i="1"/>
  <c r="G474" i="1"/>
  <c r="G476" i="1" s="1"/>
  <c r="H623" i="1" s="1"/>
  <c r="H474" i="1"/>
  <c r="H476" i="1" s="1"/>
  <c r="H624" i="1" s="1"/>
  <c r="J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1" i="1"/>
  <c r="H641" i="1"/>
  <c r="G643" i="1"/>
  <c r="H643" i="1"/>
  <c r="G644" i="1"/>
  <c r="G649" i="1"/>
  <c r="G650" i="1"/>
  <c r="G651" i="1"/>
  <c r="G652" i="1"/>
  <c r="H652" i="1"/>
  <c r="G653" i="1"/>
  <c r="H653" i="1"/>
  <c r="G654" i="1"/>
  <c r="H654" i="1"/>
  <c r="H655" i="1"/>
  <c r="J655" i="1" s="1"/>
  <c r="L256" i="1"/>
  <c r="C26" i="10"/>
  <c r="L351" i="1"/>
  <c r="C70" i="2"/>
  <c r="D18" i="13"/>
  <c r="C18" i="13" s="1"/>
  <c r="D7" i="13"/>
  <c r="C7" i="13" s="1"/>
  <c r="D17" i="13"/>
  <c r="C17" i="13" s="1"/>
  <c r="F78" i="2"/>
  <c r="F81" i="2" s="1"/>
  <c r="D50" i="2"/>
  <c r="G157" i="2"/>
  <c r="E103" i="2"/>
  <c r="G62" i="2"/>
  <c r="D19" i="13"/>
  <c r="C19" i="13" s="1"/>
  <c r="E13" i="13"/>
  <c r="C13" i="13" s="1"/>
  <c r="E78" i="2"/>
  <c r="E81" i="2" s="1"/>
  <c r="J641" i="1"/>
  <c r="J571" i="1"/>
  <c r="K571" i="1"/>
  <c r="L433" i="1"/>
  <c r="I169" i="1"/>
  <c r="G552" i="1"/>
  <c r="J643" i="1"/>
  <c r="I476" i="1"/>
  <c r="H625" i="1" s="1"/>
  <c r="J625" i="1" s="1"/>
  <c r="J140" i="1"/>
  <c r="I552" i="1"/>
  <c r="K550" i="1"/>
  <c r="G22" i="2"/>
  <c r="K545" i="1"/>
  <c r="H552" i="1"/>
  <c r="H140" i="1"/>
  <c r="F22" i="13"/>
  <c r="C22" i="13" s="1"/>
  <c r="H571" i="1"/>
  <c r="L560" i="1"/>
  <c r="J545" i="1"/>
  <c r="H192" i="1"/>
  <c r="L309" i="1"/>
  <c r="L570" i="1"/>
  <c r="I571" i="1"/>
  <c r="G36" i="2"/>
  <c r="A40" i="12" l="1"/>
  <c r="A31" i="12"/>
  <c r="A13" i="12"/>
  <c r="K549" i="1"/>
  <c r="L544" i="1"/>
  <c r="L534" i="1"/>
  <c r="L529" i="1"/>
  <c r="L524" i="1"/>
  <c r="K551" i="1"/>
  <c r="L565" i="1"/>
  <c r="L571" i="1" s="1"/>
  <c r="G164" i="2"/>
  <c r="G161" i="2"/>
  <c r="K503" i="1"/>
  <c r="K500" i="1"/>
  <c r="G156" i="2"/>
  <c r="J640" i="1"/>
  <c r="J476" i="1"/>
  <c r="H626" i="1" s="1"/>
  <c r="G645" i="1"/>
  <c r="J645" i="1" s="1"/>
  <c r="K598" i="1"/>
  <c r="G647" i="1" s="1"/>
  <c r="J647" i="1" s="1"/>
  <c r="J651" i="1"/>
  <c r="J649" i="1"/>
  <c r="J634" i="1"/>
  <c r="F661" i="1"/>
  <c r="C110" i="2"/>
  <c r="J639" i="1"/>
  <c r="J623" i="1"/>
  <c r="F476" i="1"/>
  <c r="H622" i="1" s="1"/>
  <c r="J622" i="1" s="1"/>
  <c r="H25" i="13"/>
  <c r="C25" i="13" s="1"/>
  <c r="K257" i="1"/>
  <c r="J257" i="1"/>
  <c r="J271" i="1" s="1"/>
  <c r="I257" i="1"/>
  <c r="I271" i="1" s="1"/>
  <c r="C118" i="2"/>
  <c r="F130" i="2"/>
  <c r="F144" i="2" s="1"/>
  <c r="F145" i="2" s="1"/>
  <c r="C20" i="10"/>
  <c r="H257" i="1"/>
  <c r="H271" i="1" s="1"/>
  <c r="H647" i="1"/>
  <c r="E31" i="2"/>
  <c r="G257" i="1"/>
  <c r="G271" i="1" s="1"/>
  <c r="D62" i="2"/>
  <c r="D63" i="2" s="1"/>
  <c r="D31" i="2"/>
  <c r="C62" i="2"/>
  <c r="C18" i="2"/>
  <c r="K338" i="1"/>
  <c r="K352" i="1" s="1"/>
  <c r="C132" i="2"/>
  <c r="K271" i="1"/>
  <c r="H33" i="13"/>
  <c r="C121" i="2"/>
  <c r="E8" i="13"/>
  <c r="C8" i="13" s="1"/>
  <c r="I52" i="1"/>
  <c r="H620" i="1" s="1"/>
  <c r="L382" i="1"/>
  <c r="G636" i="1" s="1"/>
  <c r="J636" i="1" s="1"/>
  <c r="C16" i="10"/>
  <c r="H338" i="1"/>
  <c r="H352" i="1" s="1"/>
  <c r="D14" i="13"/>
  <c r="C14" i="13" s="1"/>
  <c r="D15" i="13"/>
  <c r="C15" i="13" s="1"/>
  <c r="C124" i="2"/>
  <c r="H112" i="1"/>
  <c r="H193" i="1" s="1"/>
  <c r="G629" i="1" s="1"/>
  <c r="J629" i="1" s="1"/>
  <c r="H52" i="1"/>
  <c r="H619" i="1" s="1"/>
  <c r="J619" i="1" s="1"/>
  <c r="L328" i="1"/>
  <c r="G338" i="1"/>
  <c r="G352" i="1" s="1"/>
  <c r="D18" i="2"/>
  <c r="L362" i="1"/>
  <c r="C27" i="10" s="1"/>
  <c r="D29" i="13"/>
  <c r="C29" i="13" s="1"/>
  <c r="G661" i="1"/>
  <c r="H661" i="1"/>
  <c r="D127" i="2"/>
  <c r="D128" i="2" s="1"/>
  <c r="D145" i="2" s="1"/>
  <c r="E115" i="2"/>
  <c r="F338" i="1"/>
  <c r="F352" i="1" s="1"/>
  <c r="L290" i="1"/>
  <c r="E119" i="2"/>
  <c r="E128" i="2"/>
  <c r="C15" i="10"/>
  <c r="L247" i="1"/>
  <c r="D6" i="13"/>
  <c r="C6" i="13" s="1"/>
  <c r="C12" i="10"/>
  <c r="C11" i="10"/>
  <c r="F257" i="1"/>
  <c r="F271" i="1" s="1"/>
  <c r="D5" i="13"/>
  <c r="C5" i="13" s="1"/>
  <c r="D12" i="13"/>
  <c r="C12" i="13" s="1"/>
  <c r="C18" i="10"/>
  <c r="C17" i="10"/>
  <c r="C120" i="2"/>
  <c r="L211" i="1"/>
  <c r="C10" i="10"/>
  <c r="C109" i="2"/>
  <c r="C115" i="2" s="1"/>
  <c r="C78" i="2"/>
  <c r="C81" i="2"/>
  <c r="F112" i="1"/>
  <c r="C36" i="10" s="1"/>
  <c r="C35" i="10"/>
  <c r="C56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K552" i="1" l="1"/>
  <c r="L545" i="1"/>
  <c r="H646" i="1"/>
  <c r="J646" i="1" s="1"/>
  <c r="G104" i="2"/>
  <c r="C128" i="2"/>
  <c r="C145" i="2" s="1"/>
  <c r="E33" i="13"/>
  <c r="D35" i="13" s="1"/>
  <c r="C104" i="2"/>
  <c r="F193" i="1"/>
  <c r="G627" i="1" s="1"/>
  <c r="J627" i="1" s="1"/>
  <c r="G635" i="1"/>
  <c r="J635" i="1" s="1"/>
  <c r="D31" i="13"/>
  <c r="C31" i="13" s="1"/>
  <c r="I193" i="1"/>
  <c r="G630" i="1" s="1"/>
  <c r="J630" i="1" s="1"/>
  <c r="E145" i="2"/>
  <c r="H660" i="1"/>
  <c r="H664" i="1" s="1"/>
  <c r="H672" i="1" s="1"/>
  <c r="C6" i="10" s="1"/>
  <c r="L338" i="1"/>
  <c r="L352" i="1" s="1"/>
  <c r="G633" i="1" s="1"/>
  <c r="J633" i="1" s="1"/>
  <c r="I661" i="1"/>
  <c r="L257" i="1"/>
  <c r="L271" i="1" s="1"/>
  <c r="G632" i="1" s="1"/>
  <c r="J632" i="1" s="1"/>
  <c r="G664" i="1"/>
  <c r="C28" i="10"/>
  <c r="D22" i="10" s="1"/>
  <c r="F660" i="1"/>
  <c r="F664" i="1" s="1"/>
  <c r="F672" i="1" s="1"/>
  <c r="C4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67" i="1"/>
  <c r="I660" i="1"/>
  <c r="I664" i="1" s="1"/>
  <c r="I672" i="1" s="1"/>
  <c r="C7" i="10" s="1"/>
  <c r="D10" i="10"/>
  <c r="D20" i="10"/>
  <c r="D13" i="10"/>
  <c r="D11" i="10"/>
  <c r="D17" i="10"/>
  <c r="D23" i="10"/>
  <c r="C30" i="10"/>
  <c r="D25" i="10"/>
  <c r="D27" i="10"/>
  <c r="D21" i="10"/>
  <c r="D18" i="10"/>
  <c r="D12" i="10"/>
  <c r="D26" i="10"/>
  <c r="D16" i="10"/>
  <c r="D15" i="10"/>
  <c r="D24" i="10"/>
  <c r="D19" i="10"/>
  <c r="G667" i="1"/>
  <c r="G672" i="1"/>
  <c r="C5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<sst xmlns="http://schemas.openxmlformats.org/spreadsheetml/2006/main" count="3965" uniqueCount="921">
  <si>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</si>
  <si>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</si>
  <si>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</si>
  <si>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</si>
  <si>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</si>
  <si>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</si>
  <si>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</si>
  <si>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</si>
  <si>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</si>
  <si>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</si>
  <si>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</si>
  <si>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</si>
  <si>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</si>
  <si>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</si>
  <si>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</si>
  <si>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</si>
  <si>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</si>
  <si>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</si>
  <si>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</si>
  <si>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</si>
  <si>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</si>
  <si>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</si>
  <si>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</si>
  <si>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</si>
  <si>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</si>
  <si>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</si>
  <si>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</si>
  <si>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</si>
  <si>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</si>
  <si>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</si>
  <si>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</si>
  <si>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</si>
  <si>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</si>
  <si>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</si>
  <si>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</si>
  <si>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</si>
  <si>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</si>
  <si>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</si>
  <si>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</si>
  <si>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</si>
  <si>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</si>
  <si>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</si>
  <si>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</si>
  <si>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</si>
  <si>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</si>
  <si>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</si>
  <si>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</si>
  <si>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</si>
  <si>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</si>
  <si>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</si>
  <si>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</si>
  <si>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</si>
  <si>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</si>
  <si>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</si>
  <si>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</si>
  <si>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</si>
  <si>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</si>
  <si>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</si>
  <si>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</si>
  <si>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</si>
  <si>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</si>
  <si>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</si>
  <si>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</si>
  <si>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</si>
  <si>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</si>
  <si>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</si>
  <si>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</si>
  <si>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</si>
  <si>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</si>
  <si>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</si>
  <si>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</si>
  <si>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</si>
  <si>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</si>
  <si>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</si>
  <si>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</si>
  <si>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</si>
  <si>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</si>
  <si>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</si>
  <si>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</si>
  <si>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</si>
  <si>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</si>
  <si>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</si>
  <si>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</si>
  <si>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</si>
  <si>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</si>
  <si>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</si>
  <si>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</si>
  <si>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</si>
  <si>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</si>
  <si>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</si>
  <si>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</si>
  <si>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</si>
  <si>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</si>
  <si>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</si>
  <si>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</si>
  <si>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</si>
  <si>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</si>
  <si>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</si>
  <si>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</si>
  <si>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</si>
  <si>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</si>
  <si>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</si>
  <si>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</si>
  <si>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</si>
  <si>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</si>
  <si>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</si>
  <si>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</si>
  <si>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</si>
  <si>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</si>
  <si>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</si>
  <si>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</si>
  <si>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</si>
  <si>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</si>
  <si>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</si>
  <si>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</si>
  <si>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</si>
  <si>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</si>
  <si>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</si>
  <si>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</si>
  <si>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</si>
  <si>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</si>
  <si>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</si>
  <si>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</si>
  <si>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</si>
  <si>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</si>
  <si>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</si>
  <si>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</si>
  <si>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</si>
  <si>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</si>
  <si>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</si>
  <si>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</si>
  <si>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</si>
  <si>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</si>
  <si>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</si>
  <si>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</si>
  <si>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</si>
  <si>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</si>
  <si>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</si>
  <si>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</si>
  <si>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</si>
  <si>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</si>
  <si>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</si>
  <si>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</si>
  <si>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</si>
  <si>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</si>
  <si>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</si>
  <si>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</si>
  <si>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</si>
  <si>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</si>
  <si>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</si>
  <si>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</si>
  <si>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</si>
  <si>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</si>
  <si>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</si>
  <si>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</si>
  <si>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</si>
  <si>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</si>
  <si>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</si>
  <si>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</si>
  <si>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</si>
  <si>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</si>
  <si>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</si>
  <si>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</si>
  <si>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</si>
  <si>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</si>
  <si>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</si>
  <si>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</si>
  <si>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</si>
  <si>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</si>
  <si>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</si>
  <si>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</si>
  <si>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</si>
  <si>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</si>
  <si>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</si>
  <si>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</si>
  <si>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</si>
  <si>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</si>
  <si>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</si>
  <si>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</si>
  <si>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</si>
  <si>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</si>
  <si>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</si>
  <si>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</si>
  <si>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</si>
  <si>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</si>
  <si>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</si>
  <si>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</si>
  <si>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</si>
  <si>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</si>
  <si>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</si>
  <si>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</si>
  <si>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</si>
  <si>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</si>
  <si>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</si>
  <si>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</si>
  <si>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</si>
  <si>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</si>
  <si>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</si>
  <si>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</si>
  <si>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</si>
  <si>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</si>
  <si>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</si>
  <si>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</si>
  <si>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</si>
  <si>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</si>
  <si>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</si>
  <si>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</si>
  <si>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</si>
  <si>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</si>
  <si>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</si>
  <si>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</si>
  <si>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</si>
  <si>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</si>
  <si>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</si>
  <si>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</si>
  <si>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</si>
  <si>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</si>
  <si>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</si>
  <si>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</si>
  <si>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</si>
  <si>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</si>
  <si>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</si>
  <si>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</si>
  <si>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</si>
  <si>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</si>
  <si>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</si>
  <si>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</si>
  <si>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</si>
  <si>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</si>
  <si>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</si>
  <si>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</si>
  <si>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</si>
  <si>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</si>
  <si>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</si>
  <si>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</si>
  <si>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</si>
  <si>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</si>
  <si>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</si>
  <si>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</si>
  <si>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</si>
  <si>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</si>
  <si>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</si>
  <si>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</si>
  <si>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</si>
  <si>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</si>
  <si>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</si>
  <si>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</si>
  <si>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</si>
  <si>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</si>
  <si>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</si>
  <si>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</si>
  <si>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</si>
  <si>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</si>
  <si>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</si>
  <si>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</si>
  <si>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</si>
  <si>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</si>
  <si>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</si>
  <si>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</si>
  <si>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</si>
  <si>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</si>
  <si>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</si>
  <si>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</si>
  <si>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</si>
  <si>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</si>
  <si>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</si>
  <si>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</si>
  <si>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</si>
  <si>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</si>
  <si>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</si>
  <si>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</si>
  <si>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</si>
  <si>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</si>
  <si>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</si>
  <si>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</si>
  <si>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</si>
  <si>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</si>
  <si>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</si>
  <si>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</si>
  <si>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</si>
  <si>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</si>
  <si>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</si>
  <si>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</si>
  <si>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</si>
  <si>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</si>
  <si>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</si>
  <si>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</si>
  <si>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</si>
  <si>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</si>
  <si>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</si>
  <si>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</si>
  <si>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</si>
  <si>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</si>
  <si>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</si>
  <si>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</si>
  <si>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</si>
  <si>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</si>
  <si>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</si>
  <si>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</si>
  <si>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</si>
  <si>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</si>
  <si>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</si>
  <si>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</si>
  <si>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</si>
  <si>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</si>
  <si>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</si>
  <si>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</si>
  <si>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</si>
  <si>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</si>
  <si>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</si>
  <si>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</si>
  <si>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</si>
  <si>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</si>
  <si>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</si>
  <si>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</si>
  <si>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</si>
  <si>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</si>
  <si>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</si>
  <si>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</si>
  <si>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</si>
  <si>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</si>
  <si>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</si>
  <si>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</si>
  <si>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</si>
  <si>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</si>
  <si>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</si>
  <si>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</si>
  <si>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</si>
  <si>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</si>
  <si>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</si>
  <si>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</si>
  <si>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</si>
  <si>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</si>
  <si>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</si>
  <si>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</si>
  <si>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</si>
  <si>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</si>
  <si>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</si>
  <si>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</si>
  <si>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</si>
  <si>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</si>
  <si>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</si>
  <si>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</si>
  <si>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</si>
  <si>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</si>
  <si>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</si>
  <si>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</si>
  <si>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</si>
  <si>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</si>
  <si>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</si>
  <si>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</si>
  <si>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</si>
  <si>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</si>
  <si>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</si>
  <si>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</si>
  <si>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</si>
  <si>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</si>
  <si>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</si>
  <si>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</si>
  <si>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</si>
  <si>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</si>
  <si>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</si>
  <si>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</si>
  <si>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</si>
  <si>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</si>
  <si>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</si>
  <si>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</si>
  <si>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</si>
  <si>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</si>
  <si>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</si>
  <si>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</si>
  <si>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</si>
  <si>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</si>
  <si>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</si>
  <si>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</si>
  <si>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</si>
  <si>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</si>
  <si>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</si>
  <si>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</si>
  <si>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</si>
  <si>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</si>
  <si>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</si>
  <si>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</si>
  <si>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</si>
  <si>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</si>
  <si>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</si>
  <si>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</si>
  <si>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</si>
  <si>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</si>
  <si>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</si>
  <si>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</si>
  <si>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</si>
  <si>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</si>
  <si>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</si>
  <si>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</si>
  <si>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</si>
  <si>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</si>
  <si>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</si>
  <si>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</si>
  <si>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</si>
  <si>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</si>
  <si>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</si>
  <si>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</si>
  <si>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</si>
  <si>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</si>
  <si>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</si>
  <si>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</si>
  <si>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</si>
  <si>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</si>
  <si>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</si>
  <si>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</si>
  <si>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</si>
  <si>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</si>
  <si>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</si>
  <si>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</si>
  <si>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</si>
  <si>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</si>
  <si>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</si>
  <si>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</si>
  <si>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</si>
  <si>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</si>
  <si>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</si>
  <si>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</si>
  <si>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</si>
  <si>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</si>
  <si>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</si>
  <si>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</si>
  <si>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</si>
  <si>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</si>
  <si>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</si>
  <si>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</si>
  <si>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</si>
  <si>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</si>
  <si>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</si>
  <si>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</si>
  <si>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</si>
  <si>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</si>
  <si>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</si>
  <si>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</si>
  <si>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</si>
  <si>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</si>
  <si>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</si>
  <si>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</si>
  <si>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</si>
  <si>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</si>
  <si>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</si>
  <si>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</si>
  <si>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</si>
  <si>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</si>
  <si>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</si>
  <si>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</si>
  <si>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</si>
  <si>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</si>
  <si>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</si>
  <si>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</si>
  <si>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</si>
  <si>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</si>
  <si>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</si>
  <si>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</si>
  <si>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</si>
  <si>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</si>
  <si>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</si>
  <si>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</si>
  <si>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</si>
  <si>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</si>
  <si>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</si>
  <si>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</si>
  <si>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</si>
  <si>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</si>
  <si>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</si>
  <si>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</si>
  <si>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</si>
  <si>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</si>
  <si>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</si>
  <si>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</si>
  <si>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</si>
  <si>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</si>
  <si>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</si>
  <si>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</si>
  <si>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</si>
  <si>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</si>
  <si>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</si>
  <si>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</si>
  <si>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</si>
  <si>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</si>
  <si>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</si>
  <si>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</si>
  <si>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</si>
  <si>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</si>
  <si>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</si>
  <si>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</si>
  <si>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</si>
  <si>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</si>
  <si>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</si>
  <si>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</si>
  <si>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</si>
  <si>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</si>
  <si>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</si>
  <si>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</si>
  <si>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</si>
  <si>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</si>
  <si>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</si>
  <si>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</si>
  <si>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</si>
  <si>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</si>
  <si>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</si>
  <si>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</si>
  <si>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</si>
  <si>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</si>
  <si>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</si>
  <si>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</si>
  <si>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</si>
  <si>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</si>
  <si>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</si>
  <si>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</si>
  <si>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</si>
  <si>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</si>
  <si>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</si>
  <si>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</si>
  <si>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</si>
  <si>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</si>
  <si>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</si>
  <si>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</si>
  <si>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</si>
  <si>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</si>
  <si>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</si>
  <si>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</si>
  <si>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</si>
  <si>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</si>
  <si>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</si>
  <si>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</si>
  <si>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</si>
  <si>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</si>
  <si>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</si>
  <si>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</si>
  <si>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</si>
  <si>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</si>
  <si>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</si>
  <si>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</si>
  <si>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</si>
  <si>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</si>
  <si>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</si>
  <si>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</si>
  <si>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</si>
  <si>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</si>
  <si>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</si>
  <si>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</si>
  <si>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</si>
  <si>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</si>
  <si>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</si>
  <si>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</si>
  <si>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</si>
  <si>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</si>
  <si>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</si>
  <si>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</si>
  <si>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</si>
  <si>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</si>
  <si>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</si>
  <si>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</si>
  <si>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</si>
  <si>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</si>
  <si>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</si>
  <si>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</si>
  <si>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</si>
  <si>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</si>
  <si>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</si>
  <si>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</si>
  <si>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</si>
  <si>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</si>
  <si>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</si>
  <si>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</si>
  <si>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</si>
  <si>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</si>
  <si>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</si>
  <si>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</si>
  <si>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</si>
  <si>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</si>
  <si>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</si>
  <si>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</si>
  <si>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</si>
  <si>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</si>
  <si>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</si>
  <si>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</si>
  <si>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</si>
  <si>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</si>
  <si>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</si>
  <si>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</si>
  <si>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</si>
  <si>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</si>
  <si>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</si>
  <si>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</si>
  <si>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</si>
  <si>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</si>
  <si>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</si>
  <si>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</si>
  <si>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</si>
  <si>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</si>
  <si>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</si>
  <si>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</si>
  <si>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</si>
  <si>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</si>
  <si>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</si>
  <si>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</si>
  <si>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</si>
  <si>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</si>
  <si>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</si>
  <si>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</si>
  <si>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</si>
  <si>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</si>
  <si>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</si>
  <si>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</si>
  <si>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</si>
  <si>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</si>
  <si>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</si>
  <si>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</si>
  <si>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</si>
  <si>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</si>
  <si>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</si>
  <si>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</si>
  <si>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</si>
  <si>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</si>
  <si>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</si>
  <si>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</si>
  <si>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</si>
  <si>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</si>
  <si>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</si>
  <si>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</si>
  <si>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</si>
  <si>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</si>
  <si>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</si>
  <si>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</si>
  <si>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</si>
  <si>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</si>
  <si>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</si>
  <si>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</si>
  <si>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</si>
  <si>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</si>
  <si>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</si>
  <si>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</si>
  <si>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</si>
  <si>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</si>
  <si>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</si>
  <si>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</si>
  <si>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</si>
  <si>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</si>
  <si>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</si>
  <si>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</si>
  <si>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</si>
  <si>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</si>
  <si>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</si>
  <si>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</si>
  <si>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</si>
  <si>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</si>
  <si>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</si>
  <si>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</si>
  <si>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</si>
  <si>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</si>
  <si>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</si>
  <si>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</si>
  <si>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</si>
  <si>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</si>
  <si>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</si>
  <si>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</si>
  <si>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</si>
  <si>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</si>
  <si>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</si>
  <si>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</si>
  <si>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</si>
  <si>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</si>
  <si>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</si>
  <si>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</si>
  <si>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</si>
  <si>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</si>
  <si>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</si>
  <si>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</si>
  <si>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</si>
  <si>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</si>
  <si>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</si>
  <si>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</si>
  <si>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</si>
  <si>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</si>
  <si>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</si>
  <si>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</si>
  <si>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</si>
  <si>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</si>
  <si>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</si>
  <si>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</si>
  <si>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</si>
  <si>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</si>
  <si>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</si>
  <si>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</si>
  <si>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</si>
  <si>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</si>
  <si>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</si>
  <si>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</si>
  <si>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</si>
  <si>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</si>
  <si>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</si>
  <si>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</si>
  <si>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</si>
  <si>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</si>
  <si>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</si>
  <si>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</si>
  <si>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</si>
  <si>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</si>
  <si>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</si>
  <si>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</si>
  <si>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</si>
  <si>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</si>
  <si>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</si>
  <si>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</si>
  <si>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</si>
  <si>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</si>
  <si>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</si>
  <si>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</si>
  <si>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</si>
  <si>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</si>
  <si>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</si>
  <si>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</si>
  <si>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</si>
  <si>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</si>
  <si>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</si>
  <si>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</si>
  <si>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</si>
  <si>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</si>
  <si>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</si>
  <si>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</si>
  <si>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</si>
  <si>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</si>
  <si>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</si>
  <si>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</si>
  <si>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</si>
  <si>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</si>
  <si>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</si>
  <si>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</si>
  <si>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</si>
  <si>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</si>
  <si>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</si>
  <si>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</si>
  <si>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</si>
  <si>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</si>
  <si>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</si>
  <si>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</si>
  <si>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</si>
  <si>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</si>
  <si>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</si>
  <si>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</si>
  <si>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</si>
  <si>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</si>
  <si>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</si>
  <si>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</si>
  <si>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</si>
  <si>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</si>
  <si>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</si>
  <si>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</si>
  <si>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</si>
  <si>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</si>
  <si>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</si>
  <si>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</si>
  <si>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</si>
  <si>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</si>
  <si>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</si>
  <si>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</si>
  <si>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</si>
  <si>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</si>
  <si>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</si>
  <si>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</si>
  <si>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</si>
  <si>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</si>
  <si>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</si>
  <si>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</si>
  <si>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</si>
  <si>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</si>
  <si>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</si>
  <si>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</si>
  <si>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</si>
  <si>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</si>
  <si>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</si>
  <si>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</si>
  <si>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</si>
  <si>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</si>
  <si>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</si>
  <si>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</si>
  <si>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</si>
  <si>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</si>
  <si>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</si>
  <si>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</si>
  <si>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</si>
  <si>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</si>
  <si>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</si>
  <si>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</si>
  <si>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</si>
  <si>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</si>
  <si>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</si>
  <si>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</si>
  <si>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</si>
  <si>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</si>
  <si>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</si>
  <si>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</si>
  <si>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</si>
  <si>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</si>
  <si>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</si>
  <si>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</si>
  <si>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</si>
  <si>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</si>
  <si>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</si>
  <si>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</si>
  <si>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</si>
  <si>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</si>
  <si>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</si>
  <si>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</si>
  <si>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</si>
  <si>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</si>
  <si>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</si>
  <si>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</si>
  <si>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</si>
  <si>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</si>
  <si>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</si>
  <si>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</si>
  <si>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</si>
  <si>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</si>
  <si>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</si>
  <si>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</si>
  <si>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</si>
  <si>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</si>
  <si>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</si>
  <si>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</si>
  <si>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</si>
  <si>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</si>
  <si>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</si>
  <si>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</si>
  <si>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</si>
  <si>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</si>
  <si>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</si>
  <si>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</si>
  <si>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</si>
  <si>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</si>
  <si>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</si>
  <si>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</si>
  <si>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</si>
  <si>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</si>
  <si>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</si>
  <si>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</si>
  <si>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</si>
  <si>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</si>
  <si>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</si>
  <si>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</si>
  <si>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</si>
  <si>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</si>
  <si>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</si>
  <si>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</si>
  <si>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</si>
  <si>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</si>
  <si>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</si>
  <si>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</si>
  <si>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</si>
  <si>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</si>
  <si>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</si>
  <si>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</si>
  <si>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</si>
  <si>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</si>
  <si>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</si>
  <si>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</si>
  <si>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</si>
  <si>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</si>
  <si>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</si>
  <si>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</si>
  <si>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</si>
  <si>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</si>
  <si>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</si>
  <si>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</si>
  <si>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</si>
  <si>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</si>
  <si>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</si>
  <si>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</si>
  <si>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</si>
  <si>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</si>
  <si>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</si>
  <si>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</si>
  <si>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</si>
  <si>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</si>
  <si>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</si>
  <si>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</si>
  <si>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</si>
  <si>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</si>
  <si>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</si>
  <si>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</si>
  <si>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</si>
  <si>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</si>
  <si>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</si>
  <si>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</si>
  <si>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</si>
  <si>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</si>
  <si>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</si>
  <si>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</si>
  <si>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</si>
  <si>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</si>
  <si>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</si>
  <si>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</si>
  <si>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</si>
  <si>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</si>
  <si>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</si>
  <si>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</si>
  <si>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</si>
  <si>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</si>
  <si>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</si>
  <si>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</si>
  <si>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</si>
  <si>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</si>
  <si>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</si>
  <si>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</si>
  <si>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PEMBROKE</t>
  </si>
  <si>
    <t>09/99</t>
  </si>
  <si>
    <t>09/15</t>
  </si>
  <si>
    <t>08/07</t>
  </si>
  <si>
    <t>11/22</t>
  </si>
  <si>
    <t>01/23</t>
  </si>
  <si>
    <t>01/10</t>
  </si>
  <si>
    <t>01/12</t>
  </si>
  <si>
    <t>07/25</t>
  </si>
  <si>
    <t>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</si>
</sst>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533" activePane="bottomRight" state="frozen"/>
      <selection pane="topRight" activeCell="F1" sqref="F1"/>
      <selection pane="bottomLeft" activeCell="A4" sqref="A4"/>
      <selection pane="bottomRight" activeCell="H666" sqref="H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427</v>
      </c>
      <c r="C2" s="21">
        <v>427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1509673.52</v>
      </c>
      <c r="G9" s="18">
        <v>297231.65999999997</v>
      </c>
      <c r="H9" s="18"/>
      <c r="I9" s="18">
        <v>0</v>
      </c>
      <c r="J9" s="67">
        <f>SUM(I439)</f>
        <v>793330.16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195266.23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199069.49</v>
      </c>
      <c r="G13" s="18">
        <v>17527.900000000001</v>
      </c>
      <c r="H13" s="18">
        <v>46608.69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10600.12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3879.87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1907889.11</v>
      </c>
      <c r="G19" s="41">
        <f>SUM(G9:G18)</f>
        <v>325359.68</v>
      </c>
      <c r="H19" s="41">
        <f>SUM(H9:H18)</f>
        <v>46608.69</v>
      </c>
      <c r="I19" s="41">
        <f>SUM(I9:I18)</f>
        <v>0</v>
      </c>
      <c r="J19" s="41">
        <f>SUM(J9:J18)</f>
        <v>793330.16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158883.53</v>
      </c>
      <c r="H22" s="18">
        <v>36382.699999999997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928753.12</v>
      </c>
      <c r="G23" s="18">
        <v>2002.78</v>
      </c>
      <c r="H23" s="18">
        <v>10225.99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81579.97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416266.72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1426599.81</v>
      </c>
      <c r="G32" s="41">
        <f>SUM(G22:G31)</f>
        <v>160886.31</v>
      </c>
      <c r="H32" s="41">
        <f>SUM(H22:H31)</f>
        <v>46608.689999999995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164473.37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170000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f>224539.74-170000</f>
        <v>54539.739999999991</v>
      </c>
      <c r="G48" s="18"/>
      <c r="H48" s="18"/>
      <c r="I48" s="18"/>
      <c r="J48" s="13">
        <f>SUM(I459)</f>
        <v>793330.16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256749.56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481289.3</v>
      </c>
      <c r="G51" s="41">
        <f>SUM(G35:G50)</f>
        <v>164473.37</v>
      </c>
      <c r="H51" s="41">
        <f>SUM(H35:H50)</f>
        <v>0</v>
      </c>
      <c r="I51" s="41">
        <f>SUM(I35:I50)</f>
        <v>0</v>
      </c>
      <c r="J51" s="41">
        <f>SUM(J35:J50)</f>
        <v>793330.16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1907889.11</v>
      </c>
      <c r="G52" s="41">
        <f>G51+G32</f>
        <v>325359.68</v>
      </c>
      <c r="H52" s="41">
        <f>H51+H32</f>
        <v>46608.689999999995</v>
      </c>
      <c r="I52" s="41">
        <f>I51+I32</f>
        <v>0</v>
      </c>
      <c r="J52" s="41">
        <f>J51+J32</f>
        <v>793330.16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9853402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9853402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55705.85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6600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4846082.8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686970.81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5595359.459999999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8671.32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23650.09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32321.41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62.31</v>
      </c>
      <c r="H96" s="18"/>
      <c r="I96" s="18"/>
      <c r="J96" s="18">
        <v>82.8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382778.87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5128.3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33990.959999999999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81544.33</v>
      </c>
      <c r="G110" s="18">
        <v>7297.08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120663.59</v>
      </c>
      <c r="G111" s="41">
        <f>SUM(G96:G110)</f>
        <v>390138.26</v>
      </c>
      <c r="H111" s="41">
        <f>SUM(H96:H110)</f>
        <v>0</v>
      </c>
      <c r="I111" s="41">
        <f>SUM(I96:I110)</f>
        <v>0</v>
      </c>
      <c r="J111" s="41">
        <f>SUM(J96:J110)</f>
        <v>82.8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15601746.459999999</v>
      </c>
      <c r="G112" s="41">
        <f>G60+G111</f>
        <v>390138.26</v>
      </c>
      <c r="H112" s="41">
        <f>H60+H79+H94+H111</f>
        <v>0</v>
      </c>
      <c r="I112" s="41">
        <f>I60+I111</f>
        <v>0</v>
      </c>
      <c r="J112" s="41">
        <f>J60+J111</f>
        <v>82.8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5880654.6399999997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1298428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7179082.6399999997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490426.02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313722.15000000002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12811.2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1022.31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816959.37</v>
      </c>
      <c r="G136" s="41">
        <f>SUM(G123:G135)</f>
        <v>1022.31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7996042.0099999998</v>
      </c>
      <c r="G140" s="41">
        <f>G121+SUM(G136:G137)</f>
        <v>1022.31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258958.34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37768.1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26354.3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267966.95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139994.85999999999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139994.85999999999</v>
      </c>
      <c r="G162" s="41">
        <f>SUM(G150:G161)</f>
        <v>267966.95</v>
      </c>
      <c r="H162" s="41">
        <f>SUM(H150:H161)</f>
        <v>323080.74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139994.85999999999</v>
      </c>
      <c r="G169" s="41">
        <f>G147+G162+SUM(G163:G168)</f>
        <v>267966.95</v>
      </c>
      <c r="H169" s="41">
        <f>H147+H162+SUM(H163:H168)</f>
        <v>323080.74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2285.7600000000002</v>
      </c>
      <c r="H179" s="18"/>
      <c r="I179" s="18"/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2285.7600000000002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87130.5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46413.35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133543.85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133543.85</v>
      </c>
      <c r="G192" s="41">
        <f>G183+SUM(G188:G191)</f>
        <v>2285.7600000000002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23871327.18</v>
      </c>
      <c r="G193" s="47">
        <f>G112+G140+G169+G192</f>
        <v>661413.28</v>
      </c>
      <c r="H193" s="47">
        <f>H112+H140+H169+H192</f>
        <v>323080.74</v>
      </c>
      <c r="I193" s="47">
        <f>I112+I140+I169+I192</f>
        <v>0</v>
      </c>
      <c r="J193" s="47">
        <f>J112+J140+J192</f>
        <v>100082.8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3208261.55</v>
      </c>
      <c r="G197" s="18">
        <v>1804864.1</v>
      </c>
      <c r="H197" s="18">
        <v>43238.75</v>
      </c>
      <c r="I197" s="18">
        <v>146469.41</v>
      </c>
      <c r="J197" s="18">
        <v>147573.22</v>
      </c>
      <c r="K197" s="18">
        <v>0</v>
      </c>
      <c r="L197" s="19">
        <f>SUM(F197:K197)</f>
        <v>5350407.03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1293234.56</v>
      </c>
      <c r="G198" s="18">
        <v>728334.54</v>
      </c>
      <c r="H198" s="18">
        <v>756959.63</v>
      </c>
      <c r="I198" s="18">
        <v>8825.17</v>
      </c>
      <c r="J198" s="18">
        <v>11165.39</v>
      </c>
      <c r="K198" s="18">
        <v>530</v>
      </c>
      <c r="L198" s="19">
        <f>SUM(F198:K198)</f>
        <v>2799049.29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35850.5</v>
      </c>
      <c r="G200" s="18">
        <v>19166.7</v>
      </c>
      <c r="H200" s="18">
        <v>4568</v>
      </c>
      <c r="I200" s="18">
        <v>1200.23</v>
      </c>
      <c r="J200" s="18">
        <v>0</v>
      </c>
      <c r="K200" s="18">
        <v>300</v>
      </c>
      <c r="L200" s="19">
        <f>SUM(F200:K200)</f>
        <v>61085.43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286845.62</v>
      </c>
      <c r="G202" s="18">
        <v>159722.49</v>
      </c>
      <c r="H202" s="18">
        <v>463853.29</v>
      </c>
      <c r="I202" s="18">
        <v>9962.7800000000007</v>
      </c>
      <c r="J202" s="18">
        <v>98</v>
      </c>
      <c r="K202" s="18">
        <v>305</v>
      </c>
      <c r="L202" s="19">
        <f t="shared" ref="L202:L208" si="0">SUM(F202:K202)</f>
        <v>920787.17999999993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114423.43</v>
      </c>
      <c r="G203" s="18">
        <v>87638.080000000002</v>
      </c>
      <c r="H203" s="18">
        <v>17984.63</v>
      </c>
      <c r="I203" s="18">
        <v>19119.54</v>
      </c>
      <c r="J203" s="18">
        <v>0</v>
      </c>
      <c r="K203" s="18"/>
      <c r="L203" s="19">
        <f t="shared" si="0"/>
        <v>239165.68000000002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4243.97</v>
      </c>
      <c r="G204" s="18">
        <v>3194.45</v>
      </c>
      <c r="H204" s="18">
        <v>284313.40000000002</v>
      </c>
      <c r="I204" s="18">
        <v>1344.48</v>
      </c>
      <c r="J204" s="18"/>
      <c r="K204" s="18">
        <v>3866.07</v>
      </c>
      <c r="L204" s="19">
        <f t="shared" si="0"/>
        <v>296962.37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469204.72</v>
      </c>
      <c r="G205" s="18">
        <v>271634.33</v>
      </c>
      <c r="H205" s="18">
        <v>52645.68</v>
      </c>
      <c r="I205" s="18">
        <v>5576.73</v>
      </c>
      <c r="J205" s="18">
        <v>6202.57</v>
      </c>
      <c r="K205" s="18">
        <v>2953.92</v>
      </c>
      <c r="L205" s="19">
        <f t="shared" si="0"/>
        <v>808217.95000000007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266670.90999999997</v>
      </c>
      <c r="G207" s="18">
        <v>150139.14000000001</v>
      </c>
      <c r="H207" s="18">
        <v>214065.91</v>
      </c>
      <c r="I207" s="18">
        <v>179497.8</v>
      </c>
      <c r="J207" s="18">
        <v>3198.14</v>
      </c>
      <c r="K207" s="18"/>
      <c r="L207" s="19">
        <f t="shared" si="0"/>
        <v>813571.9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449295.09</v>
      </c>
      <c r="I208" s="18"/>
      <c r="J208" s="18"/>
      <c r="K208" s="18"/>
      <c r="L208" s="19">
        <f t="shared" si="0"/>
        <v>449295.09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5678735.2599999988</v>
      </c>
      <c r="G211" s="41">
        <f t="shared" si="1"/>
        <v>3224693.8300000005</v>
      </c>
      <c r="H211" s="41">
        <f t="shared" si="1"/>
        <v>2286924.3799999994</v>
      </c>
      <c r="I211" s="41">
        <f t="shared" si="1"/>
        <v>371996.14</v>
      </c>
      <c r="J211" s="41">
        <f t="shared" si="1"/>
        <v>168237.32</v>
      </c>
      <c r="K211" s="41">
        <f t="shared" si="1"/>
        <v>7954.99</v>
      </c>
      <c r="L211" s="41">
        <f t="shared" si="1"/>
        <v>11738541.919999998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2531164.37</v>
      </c>
      <c r="G233" s="18">
        <v>1211421.71</v>
      </c>
      <c r="H233" s="18">
        <v>50742.83</v>
      </c>
      <c r="I233" s="18">
        <v>123543.67</v>
      </c>
      <c r="J233" s="18">
        <v>87223.21</v>
      </c>
      <c r="K233" s="18">
        <v>1558.95</v>
      </c>
      <c r="L233" s="19">
        <f>SUM(F233:K233)</f>
        <v>4005654.74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881610.82</v>
      </c>
      <c r="G234" s="18">
        <v>420781.44</v>
      </c>
      <c r="H234" s="18">
        <v>320131.24</v>
      </c>
      <c r="I234" s="18">
        <v>11508.25</v>
      </c>
      <c r="J234" s="18">
        <v>10370.11</v>
      </c>
      <c r="K234" s="18">
        <v>225</v>
      </c>
      <c r="L234" s="19">
        <f>SUM(F234:K234)</f>
        <v>1644626.86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464306.91</v>
      </c>
      <c r="G235" s="18">
        <v>222451.33</v>
      </c>
      <c r="H235" s="18">
        <v>137993.32999999999</v>
      </c>
      <c r="I235" s="18">
        <v>33925.760000000002</v>
      </c>
      <c r="J235" s="18">
        <v>2525.2399999999998</v>
      </c>
      <c r="K235" s="18">
        <v>0</v>
      </c>
      <c r="L235" s="19">
        <f>SUM(F235:K235)</f>
        <v>861202.57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255788.5</v>
      </c>
      <c r="G236" s="18">
        <v>123286.28</v>
      </c>
      <c r="H236" s="18">
        <v>63845.9</v>
      </c>
      <c r="I236" s="18">
        <v>12497.28</v>
      </c>
      <c r="J236" s="18">
        <v>13095</v>
      </c>
      <c r="K236" s="18">
        <v>44905.71</v>
      </c>
      <c r="L236" s="19">
        <f>SUM(F236:K236)</f>
        <v>513418.6700000001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398062.17</v>
      </c>
      <c r="G238" s="18">
        <v>190289.7</v>
      </c>
      <c r="H238" s="18">
        <v>199986.46</v>
      </c>
      <c r="I238" s="18">
        <v>2966.15</v>
      </c>
      <c r="J238" s="18">
        <v>0</v>
      </c>
      <c r="K238" s="18">
        <v>4085</v>
      </c>
      <c r="L238" s="19">
        <f t="shared" ref="L238:L244" si="4">SUM(F238:K238)</f>
        <v>795389.48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93584.75</v>
      </c>
      <c r="G239" s="18">
        <v>82046.86</v>
      </c>
      <c r="H239" s="18">
        <v>16439.57</v>
      </c>
      <c r="I239" s="18">
        <v>27039.45</v>
      </c>
      <c r="J239" s="18">
        <v>7657.92</v>
      </c>
      <c r="K239" s="18"/>
      <c r="L239" s="19">
        <f t="shared" si="4"/>
        <v>226768.55000000002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4246.03</v>
      </c>
      <c r="G240" s="18">
        <v>2680.14</v>
      </c>
      <c r="H240" s="18">
        <v>308676.57</v>
      </c>
      <c r="I240" s="18">
        <v>1375.28</v>
      </c>
      <c r="J240" s="18"/>
      <c r="K240" s="18">
        <v>3750.28</v>
      </c>
      <c r="L240" s="19">
        <f t="shared" si="4"/>
        <v>320728.30000000005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657487.79</v>
      </c>
      <c r="G241" s="18">
        <v>314598.98</v>
      </c>
      <c r="H241" s="18">
        <v>49003.56</v>
      </c>
      <c r="I241" s="18">
        <v>13029.57</v>
      </c>
      <c r="J241" s="18">
        <v>1997.72</v>
      </c>
      <c r="K241" s="18">
        <v>23862.75</v>
      </c>
      <c r="L241" s="19">
        <f t="shared" si="4"/>
        <v>1059980.3700000001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313066.21000000002</v>
      </c>
      <c r="G243" s="18">
        <v>150087.65</v>
      </c>
      <c r="H243" s="18">
        <v>292815.03000000003</v>
      </c>
      <c r="I243" s="18">
        <v>213958.76</v>
      </c>
      <c r="J243" s="18">
        <v>10336.09</v>
      </c>
      <c r="K243" s="18"/>
      <c r="L243" s="19">
        <f t="shared" si="4"/>
        <v>980263.74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206853.31</v>
      </c>
      <c r="I244" s="18"/>
      <c r="J244" s="18"/>
      <c r="K244" s="18"/>
      <c r="L244" s="19">
        <f t="shared" si="4"/>
        <v>206853.31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5599317.5500000007</v>
      </c>
      <c r="G247" s="41">
        <f t="shared" si="5"/>
        <v>2717644.09</v>
      </c>
      <c r="H247" s="41">
        <f t="shared" si="5"/>
        <v>1646487.8</v>
      </c>
      <c r="I247" s="41">
        <f t="shared" si="5"/>
        <v>439844.17000000004</v>
      </c>
      <c r="J247" s="41">
        <f t="shared" si="5"/>
        <v>133205.29</v>
      </c>
      <c r="K247" s="41">
        <f t="shared" si="5"/>
        <v>78387.69</v>
      </c>
      <c r="L247" s="41">
        <f t="shared" si="5"/>
        <v>10614886.59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684882.63</v>
      </c>
      <c r="I255" s="18"/>
      <c r="J255" s="18"/>
      <c r="K255" s="18"/>
      <c r="L255" s="19">
        <f t="shared" si="6"/>
        <v>684882.63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684882.63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684882.63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11278052.809999999</v>
      </c>
      <c r="G257" s="41">
        <f t="shared" si="8"/>
        <v>5942337.9199999999</v>
      </c>
      <c r="H257" s="41">
        <f t="shared" si="8"/>
        <v>4618294.8099999996</v>
      </c>
      <c r="I257" s="41">
        <f t="shared" si="8"/>
        <v>811840.31</v>
      </c>
      <c r="J257" s="41">
        <f t="shared" si="8"/>
        <v>301442.61</v>
      </c>
      <c r="K257" s="41">
        <f t="shared" si="8"/>
        <v>86342.680000000008</v>
      </c>
      <c r="L257" s="41">
        <f t="shared" si="8"/>
        <v>23038311.139999997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625000</v>
      </c>
      <c r="L260" s="19">
        <f>SUM(F260:K260)</f>
        <v>625000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58219.13</v>
      </c>
      <c r="L261" s="19">
        <f>SUM(F261:K261)</f>
        <v>58219.13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2285.7600000000002</v>
      </c>
      <c r="L263" s="19">
        <f>SUM(F263:K263)</f>
        <v>2285.7600000000002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53011.45</v>
      </c>
      <c r="L268" s="19">
        <f t="shared" si="9"/>
        <v>53011.45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838516.34</v>
      </c>
      <c r="L270" s="41">
        <f t="shared" si="9"/>
        <v>838516.34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11278052.809999999</v>
      </c>
      <c r="G271" s="42">
        <f t="shared" si="11"/>
        <v>5942337.9199999999</v>
      </c>
      <c r="H271" s="42">
        <f t="shared" si="11"/>
        <v>4618294.8099999996</v>
      </c>
      <c r="I271" s="42">
        <f t="shared" si="11"/>
        <v>811840.31</v>
      </c>
      <c r="J271" s="42">
        <f t="shared" si="11"/>
        <v>301442.61</v>
      </c>
      <c r="K271" s="42">
        <f t="shared" si="11"/>
        <v>924859.02</v>
      </c>
      <c r="L271" s="42">
        <f t="shared" si="11"/>
        <v>23876827.479999997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208357.37</v>
      </c>
      <c r="G276" s="18">
        <v>28048.639999999999</v>
      </c>
      <c r="H276" s="18">
        <v>4295.42</v>
      </c>
      <c r="I276" s="18">
        <v>18684.03</v>
      </c>
      <c r="J276" s="18">
        <v>15544.44</v>
      </c>
      <c r="K276" s="18"/>
      <c r="L276" s="19">
        <f>SUM(F276:K276)</f>
        <v>274929.90000000002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22250</v>
      </c>
      <c r="G279" s="18">
        <v>3689.3</v>
      </c>
      <c r="H279" s="18"/>
      <c r="I279" s="18"/>
      <c r="J279" s="18"/>
      <c r="K279" s="18"/>
      <c r="L279" s="19">
        <f>SUM(F279:K279)</f>
        <v>25939.3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/>
      <c r="I281" s="18">
        <v>160</v>
      </c>
      <c r="J281" s="18"/>
      <c r="K281" s="18"/>
      <c r="L281" s="19">
        <f t="shared" ref="L281:L287" si="12">SUM(F281:K281)</f>
        <v>160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10500</v>
      </c>
      <c r="G282" s="18">
        <v>1104.68</v>
      </c>
      <c r="H282" s="18">
        <v>4998.43</v>
      </c>
      <c r="I282" s="18"/>
      <c r="J282" s="18"/>
      <c r="K282" s="18"/>
      <c r="L282" s="19">
        <f t="shared" si="12"/>
        <v>16603.11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4836.43</v>
      </c>
      <c r="L283" s="19">
        <f t="shared" si="12"/>
        <v>4836.43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612</v>
      </c>
      <c r="I287" s="18"/>
      <c r="J287" s="18"/>
      <c r="K287" s="18"/>
      <c r="L287" s="19">
        <f t="shared" si="12"/>
        <v>612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241107.37</v>
      </c>
      <c r="G290" s="42">
        <f t="shared" si="13"/>
        <v>32842.619999999995</v>
      </c>
      <c r="H290" s="42">
        <f t="shared" si="13"/>
        <v>9905.85</v>
      </c>
      <c r="I290" s="42">
        <f t="shared" si="13"/>
        <v>18844.03</v>
      </c>
      <c r="J290" s="42">
        <f t="shared" si="13"/>
        <v>15544.44</v>
      </c>
      <c r="K290" s="42">
        <f t="shared" si="13"/>
        <v>4836.43</v>
      </c>
      <c r="L290" s="41">
        <f t="shared" si="13"/>
        <v>323080.74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/>
      <c r="I315" s="18">
        <v>0</v>
      </c>
      <c r="J315" s="18">
        <v>0</v>
      </c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0</v>
      </c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241107.37</v>
      </c>
      <c r="G338" s="41">
        <f t="shared" si="20"/>
        <v>32842.619999999995</v>
      </c>
      <c r="H338" s="41">
        <f t="shared" si="20"/>
        <v>9905.85</v>
      </c>
      <c r="I338" s="41">
        <f t="shared" si="20"/>
        <v>18844.03</v>
      </c>
      <c r="J338" s="41">
        <f t="shared" si="20"/>
        <v>15544.44</v>
      </c>
      <c r="K338" s="41">
        <f t="shared" si="20"/>
        <v>4836.43</v>
      </c>
      <c r="L338" s="41">
        <f t="shared" si="20"/>
        <v>323080.74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241107.37</v>
      </c>
      <c r="G352" s="41">
        <f>G338</f>
        <v>32842.619999999995</v>
      </c>
      <c r="H352" s="41">
        <f>H338</f>
        <v>9905.85</v>
      </c>
      <c r="I352" s="41">
        <f>I338</f>
        <v>18844.03</v>
      </c>
      <c r="J352" s="41">
        <f>J338</f>
        <v>15544.44</v>
      </c>
      <c r="K352" s="47">
        <f>K338+K351</f>
        <v>4836.43</v>
      </c>
      <c r="L352" s="41">
        <f>L338+L351</f>
        <v>323080.74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106670.23</v>
      </c>
      <c r="G358" s="18">
        <v>49421.46</v>
      </c>
      <c r="H358" s="18">
        <v>8744.9599999999991</v>
      </c>
      <c r="I358" s="18">
        <v>115253.59</v>
      </c>
      <c r="J358" s="18">
        <v>3826.07</v>
      </c>
      <c r="K358" s="18">
        <v>495.9</v>
      </c>
      <c r="L358" s="13">
        <f>SUM(F358:K358)</f>
        <v>284412.21000000002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130374.73</v>
      </c>
      <c r="G360" s="18">
        <v>60404.01</v>
      </c>
      <c r="H360" s="18">
        <v>10688.28</v>
      </c>
      <c r="I360" s="18">
        <v>140865.51</v>
      </c>
      <c r="J360" s="18">
        <v>4676.3100000000004</v>
      </c>
      <c r="K360" s="18">
        <v>606.1</v>
      </c>
      <c r="L360" s="19">
        <f>SUM(F360:K360)</f>
        <v>347614.94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237044.96</v>
      </c>
      <c r="G362" s="47">
        <f t="shared" si="22"/>
        <v>109825.47</v>
      </c>
      <c r="H362" s="47">
        <f t="shared" si="22"/>
        <v>19433.239999999998</v>
      </c>
      <c r="I362" s="47">
        <f t="shared" si="22"/>
        <v>256119.1</v>
      </c>
      <c r="J362" s="47">
        <f t="shared" si="22"/>
        <v>8502.380000000001</v>
      </c>
      <c r="K362" s="47">
        <f t="shared" si="22"/>
        <v>1102</v>
      </c>
      <c r="L362" s="47">
        <f t="shared" si="22"/>
        <v>632027.15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108847.06</v>
      </c>
      <c r="G367" s="18"/>
      <c r="H367" s="18">
        <v>133035.29999999999</v>
      </c>
      <c r="I367" s="56">
        <f>SUM(F367:H367)</f>
        <v>241882.36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6406.53</v>
      </c>
      <c r="G368" s="63"/>
      <c r="H368" s="63">
        <v>7830.21</v>
      </c>
      <c r="I368" s="56">
        <f>SUM(F368:H368)</f>
        <v>14236.74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115253.59</v>
      </c>
      <c r="G369" s="47">
        <f>SUM(G367:G368)</f>
        <v>0</v>
      </c>
      <c r="H369" s="47">
        <f>SUM(H367:H368)</f>
        <v>140865.50999999998</v>
      </c>
      <c r="I369" s="47">
        <f>SUM(I367:I368)</f>
        <v>256119.09999999998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0</v>
      </c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0</v>
      </c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75000</v>
      </c>
      <c r="H389" s="18">
        <v>26.63</v>
      </c>
      <c r="I389" s="18"/>
      <c r="J389" s="24" t="s">
        <v>289</v>
      </c>
      <c r="K389" s="24" t="s">
        <v>289</v>
      </c>
      <c r="L389" s="56">
        <f t="shared" si="25"/>
        <v>75026.63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75000</v>
      </c>
      <c r="H393" s="139">
        <f>SUM(H387:H392)</f>
        <v>26.63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75026.63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31.85</v>
      </c>
      <c r="I397" s="18"/>
      <c r="J397" s="24" t="s">
        <v>289</v>
      </c>
      <c r="K397" s="24" t="s">
        <v>289</v>
      </c>
      <c r="L397" s="56">
        <f t="shared" si="26"/>
        <v>31.85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25000</v>
      </c>
      <c r="H400" s="18">
        <v>24.32</v>
      </c>
      <c r="I400" s="18"/>
      <c r="J400" s="24" t="s">
        <v>289</v>
      </c>
      <c r="K400" s="24" t="s">
        <v>289</v>
      </c>
      <c r="L400" s="56">
        <f t="shared" si="26"/>
        <v>25024.32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56.17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25056.17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82.8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100082.8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87130.5</v>
      </c>
      <c r="L415" s="56">
        <f t="shared" si="27"/>
        <v>87130.5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87130.5</v>
      </c>
      <c r="L419" s="47">
        <f t="shared" si="28"/>
        <v>87130.5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46413.35</v>
      </c>
      <c r="L426" s="56">
        <f t="shared" si="29"/>
        <v>46413.35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46413.35</v>
      </c>
      <c r="L427" s="47">
        <f t="shared" si="30"/>
        <v>46413.35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133543.85</v>
      </c>
      <c r="L434" s="47">
        <f t="shared" si="32"/>
        <v>133543.85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247642.6</v>
      </c>
      <c r="G439" s="18">
        <v>545687.56000000006</v>
      </c>
      <c r="H439" s="18"/>
      <c r="I439" s="56">
        <f t="shared" ref="I439:I445" si="33">SUM(F439:H439)</f>
        <v>793330.16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247642.6</v>
      </c>
      <c r="G446" s="13">
        <f>SUM(G439:G445)</f>
        <v>545687.56000000006</v>
      </c>
      <c r="H446" s="13">
        <f>SUM(H439:H445)</f>
        <v>0</v>
      </c>
      <c r="I446" s="13">
        <f>SUM(I439:I445)</f>
        <v>793330.16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247642.6</v>
      </c>
      <c r="G459" s="18">
        <v>545687.56000000006</v>
      </c>
      <c r="H459" s="18"/>
      <c r="I459" s="56">
        <f t="shared" si="34"/>
        <v>793330.16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247642.6</v>
      </c>
      <c r="G460" s="83">
        <f>SUM(G454:G459)</f>
        <v>545687.56000000006</v>
      </c>
      <c r="H460" s="83">
        <f>SUM(H454:H459)</f>
        <v>0</v>
      </c>
      <c r="I460" s="83">
        <f>SUM(I454:I459)</f>
        <v>793330.16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247642.6</v>
      </c>
      <c r="G461" s="42">
        <f>G452+G460</f>
        <v>545687.56000000006</v>
      </c>
      <c r="H461" s="42">
        <f>H452+H460</f>
        <v>0</v>
      </c>
      <c r="I461" s="42">
        <f>I452+I460</f>
        <v>793330.16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486789.6</v>
      </c>
      <c r="G465" s="18">
        <v>135087.24</v>
      </c>
      <c r="H465" s="18">
        <v>0</v>
      </c>
      <c r="I465" s="18">
        <v>0</v>
      </c>
      <c r="J465" s="18">
        <v>826791.21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23871327.18</v>
      </c>
      <c r="G468" s="18">
        <v>661413.28</v>
      </c>
      <c r="H468" s="18">
        <v>323080.74</v>
      </c>
      <c r="I468" s="18"/>
      <c r="J468" s="18">
        <v>100082.8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23871327.18</v>
      </c>
      <c r="G470" s="53">
        <f>SUM(G468:G469)</f>
        <v>661413.28</v>
      </c>
      <c r="H470" s="53">
        <f>SUM(H468:H469)</f>
        <v>323080.74</v>
      </c>
      <c r="I470" s="53">
        <f>SUM(I468:I469)</f>
        <v>0</v>
      </c>
      <c r="J470" s="53">
        <f>SUM(J468:J469)</f>
        <v>100082.8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23876827.48</v>
      </c>
      <c r="G472" s="18">
        <v>632027.15</v>
      </c>
      <c r="H472" s="18">
        <v>323080.74</v>
      </c>
      <c r="I472" s="18"/>
      <c r="J472" s="18">
        <v>133543.85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23876827.48</v>
      </c>
      <c r="G474" s="53">
        <f>SUM(G472:G473)</f>
        <v>632027.15</v>
      </c>
      <c r="H474" s="53">
        <f>SUM(H472:H473)</f>
        <v>323080.74</v>
      </c>
      <c r="I474" s="53">
        <f>SUM(I472:I473)</f>
        <v>0</v>
      </c>
      <c r="J474" s="53">
        <f>SUM(J472:J473)</f>
        <v>133543.85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481289.30000000075</v>
      </c>
      <c r="G476" s="53">
        <f>(G465+G470)- G474</f>
        <v>164473.37</v>
      </c>
      <c r="H476" s="53">
        <f>(H465+H470)- H474</f>
        <v>0</v>
      </c>
      <c r="I476" s="53">
        <f>(I465+I470)- I474</f>
        <v>0</v>
      </c>
      <c r="J476" s="53">
        <f>(J465+J470)- J474</f>
        <v>793330.16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>
        <v>15</v>
      </c>
      <c r="H490" s="154">
        <v>15</v>
      </c>
      <c r="I490" s="154">
        <v>15</v>
      </c>
      <c r="J490" s="154">
        <v>10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5" t="s">
        <v>914</v>
      </c>
      <c r="I491" s="155" t="s">
        <v>917</v>
      </c>
      <c r="J491" s="155" t="s">
        <v>918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5" t="s">
        <v>916</v>
      </c>
      <c r="I492" s="155" t="s">
        <v>919</v>
      </c>
      <c r="J492" s="155" t="s">
        <v>920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8445000</v>
      </c>
      <c r="G493" s="18">
        <v>360109</v>
      </c>
      <c r="H493" s="18">
        <v>2459891</v>
      </c>
      <c r="I493" s="18">
        <v>3600000</v>
      </c>
      <c r="J493" s="18">
        <v>465700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4.25</v>
      </c>
      <c r="G494" s="18">
        <v>4.68</v>
      </c>
      <c r="H494" s="18">
        <v>4.3</v>
      </c>
      <c r="I494" s="18">
        <v>1.65</v>
      </c>
      <c r="J494" s="18">
        <v>2.34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970000</v>
      </c>
      <c r="G495" s="18">
        <v>266254.32</v>
      </c>
      <c r="H495" s="18">
        <v>1805282.43</v>
      </c>
      <c r="I495" s="18">
        <v>3120000</v>
      </c>
      <c r="J495" s="18">
        <v>420000</v>
      </c>
      <c r="K495" s="53">
        <f>SUM(F495:J495)</f>
        <v>6581536.75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575000</v>
      </c>
      <c r="G497" s="18">
        <v>21486.66</v>
      </c>
      <c r="H497" s="18">
        <v>148284.28</v>
      </c>
      <c r="I497" s="18">
        <v>240000</v>
      </c>
      <c r="J497" s="18">
        <v>50000</v>
      </c>
      <c r="K497" s="53">
        <f t="shared" si="35"/>
        <v>1034770.9400000001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395000</v>
      </c>
      <c r="G498" s="204">
        <v>244767.66</v>
      </c>
      <c r="H498" s="204">
        <v>1656998.15</v>
      </c>
      <c r="I498" s="204">
        <v>2880000</v>
      </c>
      <c r="J498" s="204">
        <v>370000</v>
      </c>
      <c r="K498" s="205">
        <f t="shared" si="35"/>
        <v>5546765.8100000005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19906.63</v>
      </c>
      <c r="G499" s="18">
        <v>60758.58</v>
      </c>
      <c r="H499" s="18">
        <v>376204.65</v>
      </c>
      <c r="I499" s="18">
        <v>308880</v>
      </c>
      <c r="J499" s="18">
        <v>69900</v>
      </c>
      <c r="K499" s="53">
        <f t="shared" si="35"/>
        <v>835649.8600000001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414906.63</v>
      </c>
      <c r="G500" s="42">
        <f>SUM(G498:G499)</f>
        <v>305526.24</v>
      </c>
      <c r="H500" s="42">
        <f>SUM(H498:H499)</f>
        <v>2033202.7999999998</v>
      </c>
      <c r="I500" s="42">
        <f>SUM(I498:I499)</f>
        <v>3188880</v>
      </c>
      <c r="J500" s="42">
        <f>SUM(J498:J499)</f>
        <v>439900</v>
      </c>
      <c r="K500" s="42">
        <f t="shared" si="35"/>
        <v>6382415.6699999999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395000</v>
      </c>
      <c r="G501" s="204">
        <v>22492.23</v>
      </c>
      <c r="H501" s="204">
        <v>154660.5</v>
      </c>
      <c r="I501" s="204">
        <v>240000</v>
      </c>
      <c r="J501" s="204">
        <v>50000</v>
      </c>
      <c r="K501" s="205">
        <f t="shared" si="35"/>
        <v>862152.73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19906.63</v>
      </c>
      <c r="G502" s="18">
        <v>11455.13</v>
      </c>
      <c r="H502" s="18">
        <v>71250.92</v>
      </c>
      <c r="I502" s="18">
        <v>47520</v>
      </c>
      <c r="J502" s="18">
        <v>15700</v>
      </c>
      <c r="K502" s="53">
        <f t="shared" si="35"/>
        <v>165832.68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414906.63</v>
      </c>
      <c r="G503" s="42">
        <f>SUM(G501:G502)</f>
        <v>33947.360000000001</v>
      </c>
      <c r="H503" s="42">
        <f>SUM(H501:H502)</f>
        <v>225911.41999999998</v>
      </c>
      <c r="I503" s="42">
        <f>SUM(I501:I502)</f>
        <v>287520</v>
      </c>
      <c r="J503" s="42">
        <f>SUM(J501:J502)</f>
        <v>65700</v>
      </c>
      <c r="K503" s="42">
        <f t="shared" si="35"/>
        <v>1027985.4099999999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109344.97</v>
      </c>
      <c r="G507" s="144"/>
      <c r="H507" s="144">
        <v>27765</v>
      </c>
      <c r="I507" s="144">
        <v>81579.97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1293234.56</v>
      </c>
      <c r="G521" s="18">
        <v>728334.54</v>
      </c>
      <c r="H521" s="18">
        <v>756959.63</v>
      </c>
      <c r="I521" s="18">
        <v>8825.17</v>
      </c>
      <c r="J521" s="18">
        <v>11165.39</v>
      </c>
      <c r="K521" s="18">
        <v>530</v>
      </c>
      <c r="L521" s="88">
        <f>SUM(F521:K521)</f>
        <v>2799049.29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881610.82</v>
      </c>
      <c r="G523" s="18">
        <v>420781.44</v>
      </c>
      <c r="H523" s="18">
        <v>320131.24</v>
      </c>
      <c r="I523" s="18">
        <v>11508.25</v>
      </c>
      <c r="J523" s="18">
        <v>10370.11</v>
      </c>
      <c r="K523" s="18">
        <v>225</v>
      </c>
      <c r="L523" s="88">
        <f>SUM(F523:K523)</f>
        <v>1644626.86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2174845.38</v>
      </c>
      <c r="G524" s="108">
        <f t="shared" ref="G524:L524" si="36">SUM(G521:G523)</f>
        <v>1149115.98</v>
      </c>
      <c r="H524" s="108">
        <f t="shared" si="36"/>
        <v>1077090.8700000001</v>
      </c>
      <c r="I524" s="108">
        <f t="shared" si="36"/>
        <v>20333.419999999998</v>
      </c>
      <c r="J524" s="108">
        <f t="shared" si="36"/>
        <v>21535.5</v>
      </c>
      <c r="K524" s="108">
        <f t="shared" si="36"/>
        <v>755</v>
      </c>
      <c r="L524" s="89">
        <f t="shared" si="36"/>
        <v>4443676.1500000004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448032.29</v>
      </c>
      <c r="I526" s="18"/>
      <c r="J526" s="18"/>
      <c r="K526" s="18"/>
      <c r="L526" s="88">
        <f>SUM(F526:K526)</f>
        <v>448032.29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194964.52</v>
      </c>
      <c r="I528" s="18"/>
      <c r="J528" s="18"/>
      <c r="K528" s="18"/>
      <c r="L528" s="88">
        <f>SUM(F528:K528)</f>
        <v>194964.52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642996.80999999994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642996.80999999994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26966.52</v>
      </c>
      <c r="G531" s="18">
        <v>16578.34</v>
      </c>
      <c r="H531" s="18">
        <v>972</v>
      </c>
      <c r="I531" s="18"/>
      <c r="J531" s="18"/>
      <c r="K531" s="18"/>
      <c r="L531" s="88">
        <f>SUM(F531:K531)</f>
        <v>44516.86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6741.63</v>
      </c>
      <c r="G533" s="18">
        <v>4144.59</v>
      </c>
      <c r="H533" s="18">
        <v>243</v>
      </c>
      <c r="I533" s="18"/>
      <c r="J533" s="18"/>
      <c r="K533" s="18"/>
      <c r="L533" s="88">
        <f>SUM(F533:K533)</f>
        <v>11129.220000000001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33708.15</v>
      </c>
      <c r="G534" s="89">
        <f t="shared" ref="G534:L534" si="38">SUM(G531:G533)</f>
        <v>20722.93</v>
      </c>
      <c r="H534" s="89">
        <f t="shared" si="38"/>
        <v>1215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55646.080000000002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159251.01999999999</v>
      </c>
      <c r="I541" s="18"/>
      <c r="J541" s="18"/>
      <c r="K541" s="18"/>
      <c r="L541" s="88">
        <f>SUM(F541:K541)</f>
        <v>159251.01999999999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108950.96</v>
      </c>
      <c r="I543" s="18"/>
      <c r="J543" s="18"/>
      <c r="K543" s="18"/>
      <c r="L543" s="88">
        <f>SUM(F543:K543)</f>
        <v>108950.96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268201.98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268201.98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2208553.5299999998</v>
      </c>
      <c r="G545" s="89">
        <f t="shared" ref="G545:L545" si="41">G524+G529+G534+G539+G544</f>
        <v>1169838.9099999999</v>
      </c>
      <c r="H545" s="89">
        <f t="shared" si="41"/>
        <v>1989504.6600000001</v>
      </c>
      <c r="I545" s="89">
        <f t="shared" si="41"/>
        <v>20333.419999999998</v>
      </c>
      <c r="J545" s="89">
        <f t="shared" si="41"/>
        <v>21535.5</v>
      </c>
      <c r="K545" s="89">
        <f t="shared" si="41"/>
        <v>755</v>
      </c>
      <c r="L545" s="89">
        <f t="shared" si="41"/>
        <v>5410521.0199999996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2799049.29</v>
      </c>
      <c r="G549" s="87">
        <f>L526</f>
        <v>448032.29</v>
      </c>
      <c r="H549" s="87">
        <f>L531</f>
        <v>44516.86</v>
      </c>
      <c r="I549" s="87">
        <f>L536</f>
        <v>0</v>
      </c>
      <c r="J549" s="87">
        <f>L541</f>
        <v>159251.01999999999</v>
      </c>
      <c r="K549" s="87">
        <f>SUM(F549:J549)</f>
        <v>3450849.46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1644626.86</v>
      </c>
      <c r="G551" s="87">
        <f>L528</f>
        <v>194964.52</v>
      </c>
      <c r="H551" s="87">
        <f>L533</f>
        <v>11129.220000000001</v>
      </c>
      <c r="I551" s="87">
        <f>L538</f>
        <v>0</v>
      </c>
      <c r="J551" s="87">
        <f>L543</f>
        <v>108950.96</v>
      </c>
      <c r="K551" s="87">
        <f>SUM(F551:J551)</f>
        <v>1959671.56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4443676.1500000004</v>
      </c>
      <c r="G552" s="89">
        <f t="shared" si="42"/>
        <v>642996.80999999994</v>
      </c>
      <c r="H552" s="89">
        <f t="shared" si="42"/>
        <v>55646.080000000002</v>
      </c>
      <c r="I552" s="89">
        <f t="shared" si="42"/>
        <v>0</v>
      </c>
      <c r="J552" s="89">
        <f t="shared" si="42"/>
        <v>268201.98</v>
      </c>
      <c r="K552" s="89">
        <f t="shared" si="42"/>
        <v>5410521.0199999996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2779.98</v>
      </c>
      <c r="G562" s="18">
        <v>1563.93</v>
      </c>
      <c r="H562" s="18"/>
      <c r="I562" s="18"/>
      <c r="J562" s="18"/>
      <c r="K562" s="18"/>
      <c r="L562" s="88">
        <f>SUM(F562:K562)</f>
        <v>4343.91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15821.01</v>
      </c>
      <c r="G564" s="18">
        <v>8900.39</v>
      </c>
      <c r="H564" s="18"/>
      <c r="I564" s="18"/>
      <c r="J564" s="18"/>
      <c r="K564" s="18"/>
      <c r="L564" s="88">
        <f>SUM(F564:K564)</f>
        <v>24721.4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18600.990000000002</v>
      </c>
      <c r="G565" s="89">
        <f t="shared" si="44"/>
        <v>10464.32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29065.31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18600.990000000002</v>
      </c>
      <c r="G571" s="89">
        <f t="shared" ref="G571:L571" si="46">G560+G565+G570</f>
        <v>10464.32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29065.31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5267.5</v>
      </c>
      <c r="I575" s="87">
        <f>SUM(F575:H575)</f>
        <v>5267.5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502994.57</v>
      </c>
      <c r="G579" s="18"/>
      <c r="H579" s="18">
        <v>203897.83</v>
      </c>
      <c r="I579" s="87">
        <f t="shared" si="47"/>
        <v>706892.4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240097</v>
      </c>
      <c r="G583" s="18"/>
      <c r="H583" s="18">
        <v>73440</v>
      </c>
      <c r="I583" s="87">
        <f t="shared" si="47"/>
        <v>313537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137459.56</v>
      </c>
      <c r="I584" s="87">
        <f t="shared" si="47"/>
        <v>137459.56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283570.15000000002</v>
      </c>
      <c r="I591" s="18"/>
      <c r="J591" s="18"/>
      <c r="K591" s="104">
        <f t="shared" ref="K591:K597" si="48">SUM(H591:J591)</f>
        <v>283570.15000000002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159251.01999999999</v>
      </c>
      <c r="I592" s="18"/>
      <c r="J592" s="18">
        <v>108950.96</v>
      </c>
      <c r="K592" s="104">
        <f t="shared" si="48"/>
        <v>268201.98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51727.48</v>
      </c>
      <c r="K593" s="104">
        <f t="shared" si="48"/>
        <v>51727.48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3602.92</v>
      </c>
      <c r="I594" s="18"/>
      <c r="J594" s="18">
        <v>43680.63</v>
      </c>
      <c r="K594" s="104">
        <f t="shared" si="48"/>
        <v>47283.549999999996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2871</v>
      </c>
      <c r="I595" s="18"/>
      <c r="J595" s="18">
        <v>2494.2399999999998</v>
      </c>
      <c r="K595" s="104">
        <f t="shared" si="48"/>
        <v>5365.24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449295.09</v>
      </c>
      <c r="I598" s="108">
        <f>SUM(I591:I597)</f>
        <v>0</v>
      </c>
      <c r="J598" s="108">
        <f>SUM(J591:J597)</f>
        <v>206853.31</v>
      </c>
      <c r="K598" s="108">
        <f>SUM(K591:K597)</f>
        <v>656148.4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183781.76000000001</v>
      </c>
      <c r="I604" s="18"/>
      <c r="J604" s="18">
        <v>133205.29</v>
      </c>
      <c r="K604" s="104">
        <f>SUM(H604:J604)</f>
        <v>316987.05000000005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183781.76000000001</v>
      </c>
      <c r="I605" s="108">
        <f>SUM(I602:I604)</f>
        <v>0</v>
      </c>
      <c r="J605" s="108">
        <f>SUM(J602:J604)</f>
        <v>133205.29</v>
      </c>
      <c r="K605" s="108">
        <f>SUM(K602:K604)</f>
        <v>316987.05000000005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1907889.11</v>
      </c>
      <c r="H617" s="109">
        <f>SUM(F52)</f>
        <v>1907889.11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325359.68</v>
      </c>
      <c r="H618" s="109">
        <f>SUM(G52)</f>
        <v>325359.68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46608.69</v>
      </c>
      <c r="H619" s="109">
        <f>SUM(H52)</f>
        <v>46608.689999999995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793330.16</v>
      </c>
      <c r="H621" s="109">
        <f>SUM(J52)</f>
        <v>793330.16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481289.3</v>
      </c>
      <c r="H622" s="109">
        <f>F476</f>
        <v>481289.30000000075</v>
      </c>
      <c r="I622" s="121" t="s">
        <v>101</v>
      </c>
      <c r="J622" s="109">
        <f t="shared" ref="J622:J655" si="50">G622-H622</f>
        <v>-7.5669959187507629E-10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164473.37</v>
      </c>
      <c r="H623" s="109">
        <f>G476</f>
        <v>164473.37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793330.16</v>
      </c>
      <c r="H626" s="109">
        <f>J476</f>
        <v>793330.16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23871327.18</v>
      </c>
      <c r="H627" s="104">
        <f>SUM(F468)</f>
        <v>23871327.18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661413.28</v>
      </c>
      <c r="H628" s="104">
        <f>SUM(G468)</f>
        <v>661413.28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323080.74</v>
      </c>
      <c r="H629" s="104">
        <f>SUM(H468)</f>
        <v>323080.74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100082.8</v>
      </c>
      <c r="H631" s="104">
        <f>SUM(J468)</f>
        <v>100082.8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23876827.479999997</v>
      </c>
      <c r="H632" s="104">
        <f>SUM(F472)</f>
        <v>23876827.48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323080.74</v>
      </c>
      <c r="H633" s="104">
        <f>SUM(H472)</f>
        <v>323080.74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256119.1</v>
      </c>
      <c r="H634" s="104">
        <f>I369</f>
        <v>256119.09999999998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632027.15</v>
      </c>
      <c r="H635" s="104">
        <f>SUM(G472)</f>
        <v>632027.15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100082.8</v>
      </c>
      <c r="H637" s="164">
        <f>SUM(J468)</f>
        <v>100082.8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133543.85</v>
      </c>
      <c r="H638" s="164">
        <f>SUM(J472)</f>
        <v>133543.85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247642.6</v>
      </c>
      <c r="H639" s="104">
        <f>SUM(F461)</f>
        <v>247642.6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545687.56000000006</v>
      </c>
      <c r="H640" s="104">
        <f>SUM(G461)</f>
        <v>545687.56000000006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793330.16</v>
      </c>
      <c r="H642" s="104">
        <f>SUM(I461)</f>
        <v>793330.16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82.8</v>
      </c>
      <c r="H644" s="104">
        <f>H408</f>
        <v>82.8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100082.8</v>
      </c>
      <c r="H646" s="104">
        <f>L408</f>
        <v>100082.8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656148.4</v>
      </c>
      <c r="H647" s="104">
        <f>L208+L226+L244</f>
        <v>656148.4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316987.05000000005</v>
      </c>
      <c r="H648" s="104">
        <f>(J257+J338)-(J255+J336)</f>
        <v>316987.05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449295.09</v>
      </c>
      <c r="H649" s="104">
        <f>H598</f>
        <v>449295.09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206853.31</v>
      </c>
      <c r="H651" s="104">
        <f>J598</f>
        <v>206853.31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2285.7600000000002</v>
      </c>
      <c r="H652" s="104">
        <f>K263+K345</f>
        <v>2285.7600000000002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12346034.869999999</v>
      </c>
      <c r="G660" s="19">
        <f>(L229+L309+L359)</f>
        <v>0</v>
      </c>
      <c r="H660" s="19">
        <f>(L247+L328+L360)</f>
        <v>10962501.529999999</v>
      </c>
      <c r="I660" s="19">
        <f>SUM(F660:H660)</f>
        <v>23308536.399999999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175534.17287113299</v>
      </c>
      <c r="G661" s="19">
        <f>(L359/IF(SUM(L358:L360)=0,1,SUM(L358:L360))*(SUM(G97:G110)))</f>
        <v>0</v>
      </c>
      <c r="H661" s="19">
        <f>(L360/IF(SUM(L358:L360)=0,1,SUM(L358:L360))*(SUM(G97:G110)))</f>
        <v>214541.77712886699</v>
      </c>
      <c r="I661" s="19">
        <f>SUM(F661:H661)</f>
        <v>390075.94999999995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449907.09</v>
      </c>
      <c r="G662" s="19">
        <f>(L226+L306)-(J226+J306)</f>
        <v>0</v>
      </c>
      <c r="H662" s="19">
        <f>(L244+L325)-(J244+J325)</f>
        <v>206853.31</v>
      </c>
      <c r="I662" s="19">
        <f>SUM(F662:H662)</f>
        <v>656760.4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926873.33000000007</v>
      </c>
      <c r="G663" s="199">
        <f>SUM(G575:G587)+SUM(I602:I604)+L612</f>
        <v>0</v>
      </c>
      <c r="H663" s="199">
        <f>SUM(H575:H587)+SUM(J602:J604)+L613</f>
        <v>553270.17999999993</v>
      </c>
      <c r="I663" s="19">
        <f>SUM(F663:H663)</f>
        <v>1480143.51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10793720.277128866</v>
      </c>
      <c r="G664" s="19">
        <f>G660-SUM(G661:G663)</f>
        <v>0</v>
      </c>
      <c r="H664" s="19">
        <f>H660-SUM(H661:H663)</f>
        <v>9987836.2628711332</v>
      </c>
      <c r="I664" s="19">
        <f>I660-SUM(I661:I663)</f>
        <v>20781556.539999999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765.22</v>
      </c>
      <c r="G665" s="248"/>
      <c r="H665" s="248">
        <v>842.84</v>
      </c>
      <c r="I665" s="19">
        <f>SUM(F665:H665)</f>
        <v>1608.06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14105.38</v>
      </c>
      <c r="G667" s="19" t="e">
        <f>ROUND(G664/G665,2)</f>
        <v>#DIV/0!</v>
      </c>
      <c r="H667" s="19">
        <f>ROUND(H664/H665,2)</f>
        <v>11850.22</v>
      </c>
      <c r="I667" s="19">
        <f>ROUND(I664/I665,2)</f>
        <v>12923.37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-31.21</v>
      </c>
      <c r="I670" s="19">
        <f>SUM(F670:H670)</f>
        <v>-31.21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14105.38</v>
      </c>
      <c r="G672" s="19" t="e">
        <f>ROUND((G664+G669)/(G665+G670),2)</f>
        <v>#DIV/0!</v>
      </c>
      <c r="H672" s="19">
        <f>ROUND((H664+H669)/(H665+H670),2)</f>
        <v>12305.9</v>
      </c>
      <c r="I672" s="19">
        <f>ROUND((I664+I669)/(I665+I670),2)</f>
        <v>13179.16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2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PEMBROKE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5947783.29</v>
      </c>
      <c r="C9" s="229">
        <f>'DOE25'!G197+'DOE25'!G215+'DOE25'!G233+'DOE25'!G276+'DOE25'!G295+'DOE25'!G314</f>
        <v>3044334.45</v>
      </c>
    </row>
    <row r="10" spans="1:3" x14ac:dyDescent="0.2">
      <c r="A10" t="s">
        <v>779</v>
      </c>
      <c r="B10" s="240">
        <v>5695900.0599999996</v>
      </c>
      <c r="C10" s="240">
        <v>2916472.4</v>
      </c>
    </row>
    <row r="11" spans="1:3" x14ac:dyDescent="0.2">
      <c r="A11" t="s">
        <v>780</v>
      </c>
      <c r="B11" s="240">
        <v>79529.45</v>
      </c>
      <c r="C11" s="240">
        <v>39576.35</v>
      </c>
    </row>
    <row r="12" spans="1:3" x14ac:dyDescent="0.2">
      <c r="A12" t="s">
        <v>781</v>
      </c>
      <c r="B12" s="240">
        <v>172353.78</v>
      </c>
      <c r="C12" s="240">
        <v>88285.7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5947783.29</v>
      </c>
      <c r="C13" s="231">
        <f>SUM(C10:C12)</f>
        <v>3044334.45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2174845.38</v>
      </c>
      <c r="C18" s="229">
        <f>'DOE25'!G198+'DOE25'!G216+'DOE25'!G234+'DOE25'!G277+'DOE25'!G296+'DOE25'!G315</f>
        <v>1149115.98</v>
      </c>
    </row>
    <row r="19" spans="1:3" x14ac:dyDescent="0.2">
      <c r="A19" t="s">
        <v>779</v>
      </c>
      <c r="B19" s="240">
        <v>1055765.8400000001</v>
      </c>
      <c r="C19" s="240">
        <v>558470.37</v>
      </c>
    </row>
    <row r="20" spans="1:3" x14ac:dyDescent="0.2">
      <c r="A20" t="s">
        <v>780</v>
      </c>
      <c r="B20" s="240">
        <v>957844.2</v>
      </c>
      <c r="C20" s="240">
        <v>505611.03</v>
      </c>
    </row>
    <row r="21" spans="1:3" x14ac:dyDescent="0.2">
      <c r="A21" t="s">
        <v>781</v>
      </c>
      <c r="B21" s="240">
        <v>161235.34</v>
      </c>
      <c r="C21" s="240">
        <v>85034.58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2174845.38</v>
      </c>
      <c r="C22" s="231">
        <f>SUM(C19:C21)</f>
        <v>1149115.98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464306.91</v>
      </c>
      <c r="C27" s="234">
        <f>'DOE25'!G199+'DOE25'!G217+'DOE25'!G235+'DOE25'!G278+'DOE25'!G297+'DOE25'!G316</f>
        <v>222451.33</v>
      </c>
    </row>
    <row r="28" spans="1:3" x14ac:dyDescent="0.2">
      <c r="A28" t="s">
        <v>779</v>
      </c>
      <c r="B28" s="240">
        <v>464306.91</v>
      </c>
      <c r="C28" s="240">
        <v>222451.33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464306.91</v>
      </c>
      <c r="C31" s="231">
        <f>SUM(C28:C30)</f>
        <v>222451.33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313889</v>
      </c>
      <c r="C36" s="235">
        <f>'DOE25'!G200+'DOE25'!G218+'DOE25'!G236+'DOE25'!G279+'DOE25'!G298+'DOE25'!G317</f>
        <v>146142.28</v>
      </c>
    </row>
    <row r="37" spans="1:3" x14ac:dyDescent="0.2">
      <c r="A37" t="s">
        <v>779</v>
      </c>
      <c r="B37" s="240">
        <v>240046</v>
      </c>
      <c r="C37" s="240">
        <v>111798.84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73843</v>
      </c>
      <c r="C39" s="240">
        <v>34343.440000000002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313889</v>
      </c>
      <c r="C40" s="231">
        <f>SUM(C37:C39)</f>
        <v>146142.28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PEMBROKE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15235444.59</v>
      </c>
      <c r="D5" s="20">
        <f>SUM('DOE25'!L197:L200)+SUM('DOE25'!L215:L218)+SUM('DOE25'!L233:L236)-F5-G5</f>
        <v>14915972.76</v>
      </c>
      <c r="E5" s="243"/>
      <c r="F5" s="255">
        <f>SUM('DOE25'!J197:J200)+SUM('DOE25'!J215:J218)+SUM('DOE25'!J233:J236)</f>
        <v>271952.17</v>
      </c>
      <c r="G5" s="53">
        <f>SUM('DOE25'!K197:K200)+SUM('DOE25'!K215:K218)+SUM('DOE25'!K233:K236)</f>
        <v>47519.659999999996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1716176.66</v>
      </c>
      <c r="D6" s="20">
        <f>'DOE25'!L202+'DOE25'!L220+'DOE25'!L238-F6-G6</f>
        <v>1711688.66</v>
      </c>
      <c r="E6" s="243"/>
      <c r="F6" s="255">
        <f>'DOE25'!J202+'DOE25'!J220+'DOE25'!J238</f>
        <v>98</v>
      </c>
      <c r="G6" s="53">
        <f>'DOE25'!K202+'DOE25'!K220+'DOE25'!K238</f>
        <v>4390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465934.23000000004</v>
      </c>
      <c r="D7" s="20">
        <f>'DOE25'!L203+'DOE25'!L221+'DOE25'!L239-F7-G7</f>
        <v>458276.31000000006</v>
      </c>
      <c r="E7" s="243"/>
      <c r="F7" s="255">
        <f>'DOE25'!J203+'DOE25'!J221+'DOE25'!J239</f>
        <v>7657.92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439696.25000000006</v>
      </c>
      <c r="D8" s="243"/>
      <c r="E8" s="20">
        <f>'DOE25'!L204+'DOE25'!L222+'DOE25'!L240-F8-G8-D9-D11</f>
        <v>432079.90000000008</v>
      </c>
      <c r="F8" s="255">
        <f>'DOE25'!J204+'DOE25'!J222+'DOE25'!J240</f>
        <v>0</v>
      </c>
      <c r="G8" s="53">
        <f>'DOE25'!K204+'DOE25'!K222+'DOE25'!K240</f>
        <v>7616.35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11916.35</v>
      </c>
      <c r="D9" s="244">
        <v>11916.35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8820</v>
      </c>
      <c r="D10" s="243"/>
      <c r="E10" s="244">
        <v>8820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166078.07</v>
      </c>
      <c r="D11" s="244">
        <v>166078.07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1868198.3200000003</v>
      </c>
      <c r="D12" s="20">
        <f>'DOE25'!L205+'DOE25'!L223+'DOE25'!L241-F12-G12</f>
        <v>1833181.3600000003</v>
      </c>
      <c r="E12" s="243"/>
      <c r="F12" s="255">
        <f>'DOE25'!J205+'DOE25'!J223+'DOE25'!J241</f>
        <v>8200.2899999999991</v>
      </c>
      <c r="G12" s="53">
        <f>'DOE25'!K205+'DOE25'!K223+'DOE25'!K241</f>
        <v>26816.67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1793835.6400000001</v>
      </c>
      <c r="D14" s="20">
        <f>'DOE25'!L207+'DOE25'!L225+'DOE25'!L243-F14-G14</f>
        <v>1780301.4100000001</v>
      </c>
      <c r="E14" s="243"/>
      <c r="F14" s="255">
        <f>'DOE25'!J207+'DOE25'!J225+'DOE25'!J243</f>
        <v>13534.23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656148.4</v>
      </c>
      <c r="D15" s="20">
        <f>'DOE25'!L208+'DOE25'!L226+'DOE25'!L244-F15-G15</f>
        <v>656148.4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684882.63</v>
      </c>
      <c r="D22" s="243"/>
      <c r="E22" s="243"/>
      <c r="F22" s="255">
        <f>'DOE25'!L255+'DOE25'!L336</f>
        <v>684882.63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683219.13</v>
      </c>
      <c r="D25" s="243"/>
      <c r="E25" s="243"/>
      <c r="F25" s="258"/>
      <c r="G25" s="256"/>
      <c r="H25" s="257">
        <f>'DOE25'!L260+'DOE25'!L261+'DOE25'!L341+'DOE25'!L342</f>
        <v>683219.13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390144.79000000004</v>
      </c>
      <c r="D29" s="20">
        <f>'DOE25'!L358+'DOE25'!L359+'DOE25'!L360-'DOE25'!I367-F29-G29</f>
        <v>380540.41000000003</v>
      </c>
      <c r="E29" s="243"/>
      <c r="F29" s="255">
        <f>'DOE25'!J358+'DOE25'!J359+'DOE25'!J360</f>
        <v>8502.380000000001</v>
      </c>
      <c r="G29" s="53">
        <f>'DOE25'!K358+'DOE25'!K359+'DOE25'!K360</f>
        <v>1102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323080.74</v>
      </c>
      <c r="D31" s="20">
        <f>'DOE25'!L290+'DOE25'!L309+'DOE25'!L328+'DOE25'!L333+'DOE25'!L334+'DOE25'!L335-F31-G31</f>
        <v>302699.87</v>
      </c>
      <c r="E31" s="243"/>
      <c r="F31" s="255">
        <f>'DOE25'!J290+'DOE25'!J309+'DOE25'!J328+'DOE25'!J333+'DOE25'!J334+'DOE25'!J335</f>
        <v>15544.44</v>
      </c>
      <c r="G31" s="53">
        <f>'DOE25'!K290+'DOE25'!K309+'DOE25'!K328+'DOE25'!K333+'DOE25'!K334+'DOE25'!K335</f>
        <v>4836.43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22216803.600000001</v>
      </c>
      <c r="E33" s="246">
        <f>SUM(E5:E31)</f>
        <v>440899.90000000008</v>
      </c>
      <c r="F33" s="246">
        <f>SUM(F5:F31)</f>
        <v>1010372.0599999999</v>
      </c>
      <c r="G33" s="246">
        <f>SUM(G5:G31)</f>
        <v>92281.109999999986</v>
      </c>
      <c r="H33" s="246">
        <f>SUM(H5:H31)</f>
        <v>683219.13</v>
      </c>
    </row>
    <row r="35" spans="2:8" ht="12" thickBot="1" x14ac:dyDescent="0.25">
      <c r="B35" s="253" t="s">
        <v>847</v>
      </c>
      <c r="D35" s="254">
        <f>E33</f>
        <v>440899.90000000008</v>
      </c>
      <c r="E35" s="249"/>
    </row>
    <row r="36" spans="2:8" ht="12" thickTop="1" x14ac:dyDescent="0.2">
      <c r="B36" t="s">
        <v>815</v>
      </c>
      <c r="D36" s="20">
        <f>D33</f>
        <v>22216803.600000001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PEMBROKE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1509673.52</v>
      </c>
      <c r="D8" s="95">
        <f>'DOE25'!G9</f>
        <v>297231.65999999997</v>
      </c>
      <c r="E8" s="95">
        <f>'DOE25'!H9</f>
        <v>0</v>
      </c>
      <c r="F8" s="95">
        <f>'DOE25'!I9</f>
        <v>0</v>
      </c>
      <c r="G8" s="95">
        <f>'DOE25'!J9</f>
        <v>793330.16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195266.23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199069.49</v>
      </c>
      <c r="D12" s="95">
        <f>'DOE25'!G13</f>
        <v>17527.900000000001</v>
      </c>
      <c r="E12" s="95">
        <f>'DOE25'!H13</f>
        <v>46608.69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10600.12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3879.87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1907889.11</v>
      </c>
      <c r="D18" s="41">
        <f>SUM(D8:D17)</f>
        <v>325359.68</v>
      </c>
      <c r="E18" s="41">
        <f>SUM(E8:E17)</f>
        <v>46608.69</v>
      </c>
      <c r="F18" s="41">
        <f>SUM(F8:F17)</f>
        <v>0</v>
      </c>
      <c r="G18" s="41">
        <f>SUM(G8:G17)</f>
        <v>793330.16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158883.53</v>
      </c>
      <c r="E21" s="95">
        <f>'DOE25'!H22</f>
        <v>36382.699999999997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928753.12</v>
      </c>
      <c r="D22" s="95">
        <f>'DOE25'!G23</f>
        <v>2002.78</v>
      </c>
      <c r="E22" s="95">
        <f>'DOE25'!H23</f>
        <v>10225.99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81579.97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416266.72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1426599.81</v>
      </c>
      <c r="D31" s="41">
        <f>SUM(D21:D30)</f>
        <v>160886.31</v>
      </c>
      <c r="E31" s="41">
        <f>SUM(E21:E30)</f>
        <v>46608.689999999995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164473.37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170000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54539.739999999991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793330.16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256749.56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481289.3</v>
      </c>
      <c r="D50" s="41">
        <f>SUM(D34:D49)</f>
        <v>164473.37</v>
      </c>
      <c r="E50" s="41">
        <f>SUM(E34:E49)</f>
        <v>0</v>
      </c>
      <c r="F50" s="41">
        <f>SUM(F34:F49)</f>
        <v>0</v>
      </c>
      <c r="G50" s="41">
        <f>SUM(G34:G49)</f>
        <v>793330.16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1907889.11</v>
      </c>
      <c r="D51" s="41">
        <f>D50+D31</f>
        <v>325359.68</v>
      </c>
      <c r="E51" s="41">
        <f>E50+E31</f>
        <v>46608.689999999995</v>
      </c>
      <c r="F51" s="41">
        <f>F50+F31</f>
        <v>0</v>
      </c>
      <c r="G51" s="41">
        <f>G50+G31</f>
        <v>793330.16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9853402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5595359.459999999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32321.41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62.31</v>
      </c>
      <c r="E59" s="95">
        <f>'DOE25'!H96</f>
        <v>0</v>
      </c>
      <c r="F59" s="95">
        <f>'DOE25'!I96</f>
        <v>0</v>
      </c>
      <c r="G59" s="95">
        <f>'DOE25'!J96</f>
        <v>82.8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382778.87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120663.59</v>
      </c>
      <c r="D61" s="95">
        <f>SUM('DOE25'!G98:G110)</f>
        <v>7297.08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5748344.459999999</v>
      </c>
      <c r="D62" s="130">
        <f>SUM(D57:D61)</f>
        <v>390138.26</v>
      </c>
      <c r="E62" s="130">
        <f>SUM(E57:E61)</f>
        <v>0</v>
      </c>
      <c r="F62" s="130">
        <f>SUM(F57:F61)</f>
        <v>0</v>
      </c>
      <c r="G62" s="130">
        <f>SUM(G57:G61)</f>
        <v>82.8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15601746.459999999</v>
      </c>
      <c r="D63" s="22">
        <f>D56+D62</f>
        <v>390138.26</v>
      </c>
      <c r="E63" s="22">
        <f>E56+E62</f>
        <v>0</v>
      </c>
      <c r="F63" s="22">
        <f>F56+F62</f>
        <v>0</v>
      </c>
      <c r="G63" s="22">
        <f>G56+G62</f>
        <v>82.8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5880654.6399999997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1298428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7179082.6399999997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490426.02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313722.15000000002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12811.2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1022.31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816959.37</v>
      </c>
      <c r="D78" s="130">
        <f>SUM(D72:D77)</f>
        <v>1022.31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7996042.0099999998</v>
      </c>
      <c r="D81" s="130">
        <f>SUM(D79:D80)+D78+D70</f>
        <v>1022.31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139994.85999999999</v>
      </c>
      <c r="D88" s="95">
        <f>SUM('DOE25'!G153:G161)</f>
        <v>267966.95</v>
      </c>
      <c r="E88" s="95">
        <f>SUM('DOE25'!H153:H161)</f>
        <v>323080.74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139994.85999999999</v>
      </c>
      <c r="D91" s="131">
        <f>SUM(D85:D90)</f>
        <v>267966.95</v>
      </c>
      <c r="E91" s="131">
        <f>SUM(E85:E90)</f>
        <v>323080.74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2285.7600000000002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87130.5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46413.35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133543.85</v>
      </c>
      <c r="D103" s="86">
        <f>SUM(D93:D102)</f>
        <v>2285.7600000000002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23871327.18</v>
      </c>
      <c r="D104" s="86">
        <f>D63+D81+D91+D103</f>
        <v>661413.28</v>
      </c>
      <c r="E104" s="86">
        <f>E63+E81+E91+E103</f>
        <v>323080.74</v>
      </c>
      <c r="F104" s="86">
        <f>F63+F81+F91+F103</f>
        <v>0</v>
      </c>
      <c r="G104" s="86">
        <f>G63+G81+G103</f>
        <v>100082.8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9356061.7699999996</v>
      </c>
      <c r="D109" s="24" t="s">
        <v>289</v>
      </c>
      <c r="E109" s="95">
        <f>('DOE25'!L276)+('DOE25'!L295)+('DOE25'!L314)</f>
        <v>274929.90000000002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4443676.1500000004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861202.57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574504.10000000009</v>
      </c>
      <c r="D112" s="24" t="s">
        <v>289</v>
      </c>
      <c r="E112" s="95">
        <f>+('DOE25'!L279)+('DOE25'!L298)+('DOE25'!L317)</f>
        <v>25939.3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15235444.59</v>
      </c>
      <c r="D115" s="86">
        <f>SUM(D109:D114)</f>
        <v>0</v>
      </c>
      <c r="E115" s="86">
        <f>SUM(E109:E114)</f>
        <v>300869.2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1716176.66</v>
      </c>
      <c r="D118" s="24" t="s">
        <v>289</v>
      </c>
      <c r="E118" s="95">
        <f>+('DOE25'!L281)+('DOE25'!L300)+('DOE25'!L319)</f>
        <v>160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465934.23000000004</v>
      </c>
      <c r="D119" s="24" t="s">
        <v>289</v>
      </c>
      <c r="E119" s="95">
        <f>+('DOE25'!L282)+('DOE25'!L301)+('DOE25'!L320)</f>
        <v>16603.11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617690.67000000004</v>
      </c>
      <c r="D120" s="24" t="s">
        <v>289</v>
      </c>
      <c r="E120" s="95">
        <f>+('DOE25'!L283)+('DOE25'!L302)+('DOE25'!L321)</f>
        <v>4836.43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1868198.3200000003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1793835.6400000001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656148.4</v>
      </c>
      <c r="D124" s="24" t="s">
        <v>289</v>
      </c>
      <c r="E124" s="95">
        <f>+('DOE25'!L287)+('DOE25'!L306)+('DOE25'!L325)</f>
        <v>612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632027.15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7117983.9200000018</v>
      </c>
      <c r="D128" s="86">
        <f>SUM(D118:D127)</f>
        <v>632027.15</v>
      </c>
      <c r="E128" s="86">
        <f>SUM(E118:E127)</f>
        <v>22211.54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684882.63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625000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58219.13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133543.85</v>
      </c>
    </row>
    <row r="135" spans="1:7" x14ac:dyDescent="0.2">
      <c r="A135" t="s">
        <v>233</v>
      </c>
      <c r="B135" s="32" t="s">
        <v>234</v>
      </c>
      <c r="C135" s="95">
        <f>'DOE25'!L263</f>
        <v>2285.7600000000002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75026.63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25056.17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-82.80000000000291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53011.45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1523398.9699999997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133543.85</v>
      </c>
    </row>
    <row r="145" spans="1:9" ht="12.75" thickTop="1" thickBot="1" x14ac:dyDescent="0.25">
      <c r="A145" s="33" t="s">
        <v>244</v>
      </c>
      <c r="C145" s="86">
        <f>(C115+C128+C144)</f>
        <v>23876827.48</v>
      </c>
      <c r="D145" s="86">
        <f>(D115+D128+D144)</f>
        <v>632027.15</v>
      </c>
      <c r="E145" s="86">
        <f>(E115+E128+E144)</f>
        <v>323080.74</v>
      </c>
      <c r="F145" s="86">
        <f>(F115+F128+F144)</f>
        <v>0</v>
      </c>
      <c r="G145" s="86">
        <f>(G115+G128+G144)</f>
        <v>133543.85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15</v>
      </c>
      <c r="D151" s="153">
        <f>'DOE25'!H490</f>
        <v>15</v>
      </c>
      <c r="E151" s="153">
        <f>'DOE25'!I490</f>
        <v>15</v>
      </c>
      <c r="F151" s="153">
        <f>'DOE25'!J490</f>
        <v>10</v>
      </c>
      <c r="G151" s="24" t="s">
        <v>289</v>
      </c>
    </row>
    <row r="152" spans="1:9" x14ac:dyDescent="0.2">
      <c r="A152" s="136" t="s">
        <v>28</v>
      </c>
      <c r="B152" s="152" t="str">
        <f>'DOE25'!F491</f>
        <v>09/99</v>
      </c>
      <c r="C152" s="152" t="str">
        <f>'DOE25'!G491</f>
        <v>08/07</v>
      </c>
      <c r="D152" s="152" t="str">
        <f>'DOE25'!H491</f>
        <v>08/07</v>
      </c>
      <c r="E152" s="152" t="str">
        <f>'DOE25'!I491</f>
        <v>01/10</v>
      </c>
      <c r="F152" s="152" t="str">
        <f>'DOE25'!J491</f>
        <v>01/12</v>
      </c>
      <c r="G152" s="24" t="s">
        <v>289</v>
      </c>
    </row>
    <row r="153" spans="1:9" x14ac:dyDescent="0.2">
      <c r="A153" s="136" t="s">
        <v>29</v>
      </c>
      <c r="B153" s="152" t="str">
        <f>'DOE25'!F492</f>
        <v>09/15</v>
      </c>
      <c r="C153" s="152" t="str">
        <f>'DOE25'!G492</f>
        <v>11/22</v>
      </c>
      <c r="D153" s="152" t="str">
        <f>'DOE25'!H492</f>
        <v>01/23</v>
      </c>
      <c r="E153" s="152" t="str">
        <f>'DOE25'!I492</f>
        <v>07/25</v>
      </c>
      <c r="F153" s="152" t="str">
        <f>'DOE25'!J492</f>
        <v>01/22</v>
      </c>
      <c r="G153" s="24" t="s">
        <v>289</v>
      </c>
    </row>
    <row r="154" spans="1:9" x14ac:dyDescent="0.2">
      <c r="A154" s="136" t="s">
        <v>30</v>
      </c>
      <c r="B154" s="137">
        <f>'DOE25'!F493</f>
        <v>8445000</v>
      </c>
      <c r="C154" s="137">
        <f>'DOE25'!G493</f>
        <v>360109</v>
      </c>
      <c r="D154" s="137">
        <f>'DOE25'!H493</f>
        <v>2459891</v>
      </c>
      <c r="E154" s="137">
        <f>'DOE25'!I493</f>
        <v>3600000</v>
      </c>
      <c r="F154" s="137">
        <f>'DOE25'!J493</f>
        <v>465700</v>
      </c>
      <c r="G154" s="24" t="s">
        <v>289</v>
      </c>
    </row>
    <row r="155" spans="1:9" x14ac:dyDescent="0.2">
      <c r="A155" s="136" t="s">
        <v>31</v>
      </c>
      <c r="B155" s="137">
        <f>'DOE25'!F494</f>
        <v>4.25</v>
      </c>
      <c r="C155" s="137">
        <f>'DOE25'!G494</f>
        <v>4.68</v>
      </c>
      <c r="D155" s="137">
        <f>'DOE25'!H494</f>
        <v>4.3</v>
      </c>
      <c r="E155" s="137">
        <f>'DOE25'!I494</f>
        <v>1.65</v>
      </c>
      <c r="F155" s="137">
        <f>'DOE25'!J494</f>
        <v>2.34</v>
      </c>
      <c r="G155" s="24" t="s">
        <v>289</v>
      </c>
    </row>
    <row r="156" spans="1:9" x14ac:dyDescent="0.2">
      <c r="A156" s="22" t="s">
        <v>32</v>
      </c>
      <c r="B156" s="137">
        <f>'DOE25'!F495</f>
        <v>970000</v>
      </c>
      <c r="C156" s="137">
        <f>'DOE25'!G495</f>
        <v>266254.32</v>
      </c>
      <c r="D156" s="137">
        <f>'DOE25'!H495</f>
        <v>1805282.43</v>
      </c>
      <c r="E156" s="137">
        <f>'DOE25'!I495</f>
        <v>3120000</v>
      </c>
      <c r="F156" s="137">
        <f>'DOE25'!J495</f>
        <v>420000</v>
      </c>
      <c r="G156" s="138">
        <f>SUM(B156:F156)</f>
        <v>6581536.75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575000</v>
      </c>
      <c r="C158" s="137">
        <f>'DOE25'!G497</f>
        <v>21486.66</v>
      </c>
      <c r="D158" s="137">
        <f>'DOE25'!H497</f>
        <v>148284.28</v>
      </c>
      <c r="E158" s="137">
        <f>'DOE25'!I497</f>
        <v>240000</v>
      </c>
      <c r="F158" s="137">
        <f>'DOE25'!J497</f>
        <v>50000</v>
      </c>
      <c r="G158" s="138">
        <f t="shared" si="0"/>
        <v>1034770.9400000001</v>
      </c>
    </row>
    <row r="159" spans="1:9" x14ac:dyDescent="0.2">
      <c r="A159" s="22" t="s">
        <v>35</v>
      </c>
      <c r="B159" s="137">
        <f>'DOE25'!F498</f>
        <v>395000</v>
      </c>
      <c r="C159" s="137">
        <f>'DOE25'!G498</f>
        <v>244767.66</v>
      </c>
      <c r="D159" s="137">
        <f>'DOE25'!H498</f>
        <v>1656998.15</v>
      </c>
      <c r="E159" s="137">
        <f>'DOE25'!I498</f>
        <v>2880000</v>
      </c>
      <c r="F159" s="137">
        <f>'DOE25'!J498</f>
        <v>370000</v>
      </c>
      <c r="G159" s="138">
        <f t="shared" si="0"/>
        <v>5546765.8100000005</v>
      </c>
    </row>
    <row r="160" spans="1:9" x14ac:dyDescent="0.2">
      <c r="A160" s="22" t="s">
        <v>36</v>
      </c>
      <c r="B160" s="137">
        <f>'DOE25'!F499</f>
        <v>19906.63</v>
      </c>
      <c r="C160" s="137">
        <f>'DOE25'!G499</f>
        <v>60758.58</v>
      </c>
      <c r="D160" s="137">
        <f>'DOE25'!H499</f>
        <v>376204.65</v>
      </c>
      <c r="E160" s="137">
        <f>'DOE25'!I499</f>
        <v>308880</v>
      </c>
      <c r="F160" s="137">
        <f>'DOE25'!J499</f>
        <v>69900</v>
      </c>
      <c r="G160" s="138">
        <f t="shared" si="0"/>
        <v>835649.8600000001</v>
      </c>
    </row>
    <row r="161" spans="1:7" x14ac:dyDescent="0.2">
      <c r="A161" s="22" t="s">
        <v>37</v>
      </c>
      <c r="B161" s="137">
        <f>'DOE25'!F500</f>
        <v>414906.63</v>
      </c>
      <c r="C161" s="137">
        <f>'DOE25'!G500</f>
        <v>305526.24</v>
      </c>
      <c r="D161" s="137">
        <f>'DOE25'!H500</f>
        <v>2033202.7999999998</v>
      </c>
      <c r="E161" s="137">
        <f>'DOE25'!I500</f>
        <v>3188880</v>
      </c>
      <c r="F161" s="137">
        <f>'DOE25'!J500</f>
        <v>439900</v>
      </c>
      <c r="G161" s="138">
        <f t="shared" si="0"/>
        <v>6382415.6699999999</v>
      </c>
    </row>
    <row r="162" spans="1:7" x14ac:dyDescent="0.2">
      <c r="A162" s="22" t="s">
        <v>38</v>
      </c>
      <c r="B162" s="137">
        <f>'DOE25'!F501</f>
        <v>395000</v>
      </c>
      <c r="C162" s="137">
        <f>'DOE25'!G501</f>
        <v>22492.23</v>
      </c>
      <c r="D162" s="137">
        <f>'DOE25'!H501</f>
        <v>154660.5</v>
      </c>
      <c r="E162" s="137">
        <f>'DOE25'!I501</f>
        <v>240000</v>
      </c>
      <c r="F162" s="137">
        <f>'DOE25'!J501</f>
        <v>50000</v>
      </c>
      <c r="G162" s="138">
        <f t="shared" si="0"/>
        <v>862152.73</v>
      </c>
    </row>
    <row r="163" spans="1:7" x14ac:dyDescent="0.2">
      <c r="A163" s="22" t="s">
        <v>39</v>
      </c>
      <c r="B163" s="137">
        <f>'DOE25'!F502</f>
        <v>19906.63</v>
      </c>
      <c r="C163" s="137">
        <f>'DOE25'!G502</f>
        <v>11455.13</v>
      </c>
      <c r="D163" s="137">
        <f>'DOE25'!H502</f>
        <v>71250.92</v>
      </c>
      <c r="E163" s="137">
        <f>'DOE25'!I502</f>
        <v>47520</v>
      </c>
      <c r="F163" s="137">
        <f>'DOE25'!J502</f>
        <v>15700</v>
      </c>
      <c r="G163" s="138">
        <f t="shared" si="0"/>
        <v>165832.68</v>
      </c>
    </row>
    <row r="164" spans="1:7" x14ac:dyDescent="0.2">
      <c r="A164" s="22" t="s">
        <v>246</v>
      </c>
      <c r="B164" s="137">
        <f>'DOE25'!F503</f>
        <v>414906.63</v>
      </c>
      <c r="C164" s="137">
        <f>'DOE25'!G503</f>
        <v>33947.360000000001</v>
      </c>
      <c r="D164" s="137">
        <f>'DOE25'!H503</f>
        <v>225911.41999999998</v>
      </c>
      <c r="E164" s="137">
        <f>'DOE25'!I503</f>
        <v>287520</v>
      </c>
      <c r="F164" s="137">
        <f>'DOE25'!J503</f>
        <v>65700</v>
      </c>
      <c r="G164" s="138">
        <f t="shared" si="0"/>
        <v>1027985.4099999999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PEMBROKE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14105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12306</v>
      </c>
    </row>
    <row r="7" spans="1:4" x14ac:dyDescent="0.2">
      <c r="B7" t="s">
        <v>705</v>
      </c>
      <c r="C7" s="179">
        <f>IF('DOE25'!I665+'DOE25'!I670=0,0,ROUND('DOE25'!I672,0))</f>
        <v>13179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9630992</v>
      </c>
      <c r="D10" s="182">
        <f>ROUND((C10/$C$28)*100,1)</f>
        <v>41.8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4443676</v>
      </c>
      <c r="D11" s="182">
        <f>ROUND((C11/$C$28)*100,1)</f>
        <v>19.3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861203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600443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1716337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482537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622527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1868198</v>
      </c>
      <c r="D18" s="182">
        <f t="shared" si="0"/>
        <v>8.1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1793836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656760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58219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53011.45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241951.05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23029690.5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684883</v>
      </c>
    </row>
    <row r="30" spans="1:4" x14ac:dyDescent="0.2">
      <c r="B30" s="187" t="s">
        <v>729</v>
      </c>
      <c r="C30" s="180">
        <f>SUM(C28:C29)</f>
        <v>23714573.5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625000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9853402</v>
      </c>
      <c r="D35" s="182">
        <f t="shared" ref="D35:D40" si="1">ROUND((C35/$C$41)*100,1)</f>
        <v>40.5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5748489.5700000003</v>
      </c>
      <c r="D36" s="182">
        <f t="shared" si="1"/>
        <v>23.6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7179083</v>
      </c>
      <c r="D37" s="182">
        <f t="shared" si="1"/>
        <v>29.5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817982</v>
      </c>
      <c r="D38" s="182">
        <f t="shared" si="1"/>
        <v>3.4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731043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24329999.57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V21" sqref="V21:Y2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PEMBROKE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2014-09-09T19:14:40Z</cp:lastPrinted>
  <dcterms:created xsi:type="dcterms:W3CDTF">1997-12-04T19:04:30Z</dcterms:created>
  <dcterms:modified xsi:type="dcterms:W3CDTF">2014-12-10T17:12:23Z</dcterms:modified>
</cp:coreProperties>
</file>