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A70A" lockStructure="1"/>
  <bookViews>
    <workbookView xWindow="0" yWindow="0" windowWidth="28800" windowHeight="12435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H202" i="1" l="1"/>
  <c r="G197" i="1"/>
  <c r="G198" i="1"/>
  <c r="G202" i="1"/>
  <c r="G203" i="1"/>
  <c r="G205" i="1"/>
  <c r="G207" i="1"/>
  <c r="F9" i="1"/>
  <c r="H358" i="1"/>
  <c r="G158" i="1"/>
  <c r="F29" i="1" l="1"/>
  <c r="F24" i="1"/>
  <c r="H155" i="1" l="1"/>
  <c r="B39" i="12"/>
  <c r="D11" i="13" l="1"/>
  <c r="H521" i="1"/>
  <c r="H240" i="1" l="1"/>
  <c r="H207" i="1"/>
  <c r="H204" i="1"/>
  <c r="H203" i="1"/>
  <c r="H198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C112" i="2" s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C119" i="2" s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L226" i="1"/>
  <c r="G662" i="1" s="1"/>
  <c r="L244" i="1"/>
  <c r="F17" i="13"/>
  <c r="G17" i="13"/>
  <c r="L251" i="1"/>
  <c r="C114" i="2" s="1"/>
  <c r="F18" i="13"/>
  <c r="G18" i="13"/>
  <c r="L252" i="1"/>
  <c r="F19" i="13"/>
  <c r="G19" i="13"/>
  <c r="L253" i="1"/>
  <c r="F29" i="13"/>
  <c r="G29" i="13"/>
  <c r="L358" i="1"/>
  <c r="L359" i="1"/>
  <c r="L360" i="1"/>
  <c r="I367" i="1"/>
  <c r="J290" i="1"/>
  <c r="J309" i="1"/>
  <c r="J328" i="1"/>
  <c r="K290" i="1"/>
  <c r="K309" i="1"/>
  <c r="K328" i="1"/>
  <c r="L276" i="1"/>
  <c r="L277" i="1"/>
  <c r="E110" i="2" s="1"/>
  <c r="L278" i="1"/>
  <c r="L279" i="1"/>
  <c r="L281" i="1"/>
  <c r="L282" i="1"/>
  <c r="E119" i="2" s="1"/>
  <c r="L283" i="1"/>
  <c r="L284" i="1"/>
  <c r="L285" i="1"/>
  <c r="L286" i="1"/>
  <c r="E123" i="2" s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C131" i="2" s="1"/>
  <c r="L261" i="1"/>
  <c r="C25" i="10" s="1"/>
  <c r="L341" i="1"/>
  <c r="C32" i="10" s="1"/>
  <c r="L342" i="1"/>
  <c r="L255" i="1"/>
  <c r="C130" i="2" s="1"/>
  <c r="L336" i="1"/>
  <c r="E130" i="2" s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A31" i="12" s="1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2" i="2" s="1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56" i="2" s="1"/>
  <c r="F79" i="1"/>
  <c r="C57" i="2" s="1"/>
  <c r="F94" i="1"/>
  <c r="C58" i="2" s="1"/>
  <c r="F111" i="1"/>
  <c r="G111" i="1"/>
  <c r="H79" i="1"/>
  <c r="E57" i="2" s="1"/>
  <c r="H94" i="1"/>
  <c r="H112" i="1" s="1"/>
  <c r="H111" i="1"/>
  <c r="I111" i="1"/>
  <c r="I112" i="1" s="1"/>
  <c r="J111" i="1"/>
  <c r="J112" i="1" s="1"/>
  <c r="F121" i="1"/>
  <c r="F136" i="1"/>
  <c r="G121" i="1"/>
  <c r="G136" i="1"/>
  <c r="H121" i="1"/>
  <c r="H140" i="1" s="1"/>
  <c r="H136" i="1"/>
  <c r="I121" i="1"/>
  <c r="I136" i="1"/>
  <c r="J121" i="1"/>
  <c r="J140" i="1" s="1"/>
  <c r="J136" i="1"/>
  <c r="F147" i="1"/>
  <c r="C85" i="2" s="1"/>
  <c r="F162" i="1"/>
  <c r="G147" i="1"/>
  <c r="D85" i="2" s="1"/>
  <c r="G162" i="1"/>
  <c r="H147" i="1"/>
  <c r="H162" i="1"/>
  <c r="H169" i="1" s="1"/>
  <c r="I147" i="1"/>
  <c r="F85" i="2" s="1"/>
  <c r="I162" i="1"/>
  <c r="L250" i="1"/>
  <c r="L332" i="1"/>
  <c r="L254" i="1"/>
  <c r="L268" i="1"/>
  <c r="L269" i="1"/>
  <c r="C143" i="2" s="1"/>
  <c r="L349" i="1"/>
  <c r="L350" i="1"/>
  <c r="I665" i="1"/>
  <c r="I670" i="1"/>
  <c r="G661" i="1"/>
  <c r="H662" i="1"/>
  <c r="I669" i="1"/>
  <c r="C42" i="10"/>
  <c r="L374" i="1"/>
  <c r="L375" i="1"/>
  <c r="L376" i="1"/>
  <c r="L377" i="1"/>
  <c r="L378" i="1"/>
  <c r="L379" i="1"/>
  <c r="L380" i="1"/>
  <c r="B2" i="10"/>
  <c r="L344" i="1"/>
  <c r="E134" i="2" s="1"/>
  <c r="L345" i="1"/>
  <c r="E135" i="2" s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K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J552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D50" i="2" s="1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C79" i="2"/>
  <c r="D79" i="2"/>
  <c r="E79" i="2"/>
  <c r="C80" i="2"/>
  <c r="E80" i="2"/>
  <c r="E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C110" i="2"/>
  <c r="E111" i="2"/>
  <c r="C113" i="2"/>
  <c r="E113" i="2"/>
  <c r="D115" i="2"/>
  <c r="F115" i="2"/>
  <c r="G115" i="2"/>
  <c r="E120" i="2"/>
  <c r="C121" i="2"/>
  <c r="E124" i="2"/>
  <c r="C125" i="2"/>
  <c r="F128" i="2"/>
  <c r="G128" i="2"/>
  <c r="D134" i="2"/>
  <c r="D144" i="2" s="1"/>
  <c r="F134" i="2"/>
  <c r="K419" i="1"/>
  <c r="K427" i="1"/>
  <c r="K433" i="1"/>
  <c r="L263" i="1"/>
  <c r="C135" i="2" s="1"/>
  <c r="L264" i="1"/>
  <c r="C136" i="2" s="1"/>
  <c r="L265" i="1"/>
  <c r="C137" i="2" s="1"/>
  <c r="E137" i="2"/>
  <c r="C142" i="2"/>
  <c r="E142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I19" i="1"/>
  <c r="G620" i="1" s="1"/>
  <c r="F32" i="1"/>
  <c r="F52" i="1" s="1"/>
  <c r="H617" i="1" s="1"/>
  <c r="G32" i="1"/>
  <c r="G52" i="1" s="1"/>
  <c r="H618" i="1" s="1"/>
  <c r="H32" i="1"/>
  <c r="I32" i="1"/>
  <c r="H51" i="1"/>
  <c r="I51" i="1"/>
  <c r="I52" i="1" s="1"/>
  <c r="H620" i="1" s="1"/>
  <c r="F177" i="1"/>
  <c r="I177" i="1"/>
  <c r="F183" i="1"/>
  <c r="G183" i="1"/>
  <c r="G192" i="1" s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G634" i="1" s="1"/>
  <c r="J362" i="1"/>
  <c r="K362" i="1"/>
  <c r="I368" i="1"/>
  <c r="F369" i="1"/>
  <c r="G369" i="1"/>
  <c r="H369" i="1"/>
  <c r="I369" i="1"/>
  <c r="H634" i="1" s="1"/>
  <c r="L381" i="1"/>
  <c r="F382" i="1"/>
  <c r="G382" i="1"/>
  <c r="H382" i="1"/>
  <c r="I382" i="1"/>
  <c r="J382" i="1"/>
  <c r="K382" i="1"/>
  <c r="F393" i="1"/>
  <c r="G393" i="1"/>
  <c r="H393" i="1"/>
  <c r="I393" i="1"/>
  <c r="I408" i="1" s="1"/>
  <c r="F401" i="1"/>
  <c r="F408" i="1" s="1"/>
  <c r="H643" i="1" s="1"/>
  <c r="G401" i="1"/>
  <c r="G408" i="1" s="1"/>
  <c r="H645" i="1" s="1"/>
  <c r="H401" i="1"/>
  <c r="I401" i="1"/>
  <c r="F407" i="1"/>
  <c r="G407" i="1"/>
  <c r="H407" i="1"/>
  <c r="H408" i="1" s="1"/>
  <c r="H644" i="1" s="1"/>
  <c r="I407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G640" i="1" s="1"/>
  <c r="H446" i="1"/>
  <c r="G641" i="1" s="1"/>
  <c r="J641" i="1" s="1"/>
  <c r="F452" i="1"/>
  <c r="G452" i="1"/>
  <c r="H452" i="1"/>
  <c r="I452" i="1"/>
  <c r="I461" i="1" s="1"/>
  <c r="H642" i="1" s="1"/>
  <c r="F460" i="1"/>
  <c r="G460" i="1"/>
  <c r="H460" i="1"/>
  <c r="I460" i="1"/>
  <c r="F461" i="1"/>
  <c r="G461" i="1"/>
  <c r="H461" i="1"/>
  <c r="F470" i="1"/>
  <c r="G470" i="1"/>
  <c r="G476" i="1" s="1"/>
  <c r="H623" i="1" s="1"/>
  <c r="J623" i="1" s="1"/>
  <c r="H470" i="1"/>
  <c r="I470" i="1"/>
  <c r="I476" i="1" s="1"/>
  <c r="H625" i="1" s="1"/>
  <c r="J470" i="1"/>
  <c r="F474" i="1"/>
  <c r="G474" i="1"/>
  <c r="H474" i="1"/>
  <c r="I474" i="1"/>
  <c r="J474" i="1"/>
  <c r="J476" i="1" s="1"/>
  <c r="H626" i="1" s="1"/>
  <c r="K495" i="1"/>
  <c r="K496" i="1"/>
  <c r="K497" i="1"/>
  <c r="K498" i="1"/>
  <c r="K499" i="1"/>
  <c r="K500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70" i="1" s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5" i="1" s="1"/>
  <c r="G648" i="1" s="1"/>
  <c r="K603" i="1"/>
  <c r="K604" i="1"/>
  <c r="H605" i="1"/>
  <c r="I605" i="1"/>
  <c r="J605" i="1"/>
  <c r="F614" i="1"/>
  <c r="G614" i="1"/>
  <c r="H614" i="1"/>
  <c r="I614" i="1"/>
  <c r="J614" i="1"/>
  <c r="K614" i="1"/>
  <c r="G619" i="1"/>
  <c r="G622" i="1"/>
  <c r="G623" i="1"/>
  <c r="G624" i="1"/>
  <c r="H627" i="1"/>
  <c r="H628" i="1"/>
  <c r="H629" i="1"/>
  <c r="H630" i="1"/>
  <c r="H631" i="1"/>
  <c r="H632" i="1"/>
  <c r="H633" i="1"/>
  <c r="H635" i="1"/>
  <c r="H636" i="1"/>
  <c r="H637" i="1"/>
  <c r="H638" i="1"/>
  <c r="G639" i="1"/>
  <c r="H639" i="1"/>
  <c r="H640" i="1"/>
  <c r="H641" i="1"/>
  <c r="G643" i="1"/>
  <c r="G644" i="1"/>
  <c r="G651" i="1"/>
  <c r="G652" i="1"/>
  <c r="H652" i="1"/>
  <c r="G653" i="1"/>
  <c r="H653" i="1"/>
  <c r="G654" i="1"/>
  <c r="H654" i="1"/>
  <c r="H655" i="1"/>
  <c r="L328" i="1"/>
  <c r="D29" i="13"/>
  <c r="C29" i="13" s="1"/>
  <c r="E78" i="2"/>
  <c r="L419" i="1"/>
  <c r="G22" i="2"/>
  <c r="F22" i="13"/>
  <c r="C22" i="13" s="1"/>
  <c r="F338" i="1"/>
  <c r="F352" i="1" s="1"/>
  <c r="H192" i="1"/>
  <c r="G36" i="2"/>
  <c r="L427" i="1" l="1"/>
  <c r="G645" i="1"/>
  <c r="J645" i="1" s="1"/>
  <c r="F476" i="1"/>
  <c r="H622" i="1" s="1"/>
  <c r="J622" i="1" s="1"/>
  <c r="H476" i="1"/>
  <c r="H624" i="1" s="1"/>
  <c r="J624" i="1" s="1"/>
  <c r="F192" i="1"/>
  <c r="J257" i="1"/>
  <c r="J271" i="1" s="1"/>
  <c r="L565" i="1"/>
  <c r="H571" i="1"/>
  <c r="J545" i="1"/>
  <c r="J640" i="1"/>
  <c r="L256" i="1"/>
  <c r="H52" i="1"/>
  <c r="H619" i="1" s="1"/>
  <c r="E58" i="2"/>
  <c r="F130" i="2"/>
  <c r="F144" i="2" s="1"/>
  <c r="F145" i="2" s="1"/>
  <c r="C16" i="10"/>
  <c r="E114" i="2"/>
  <c r="L309" i="1"/>
  <c r="E122" i="2"/>
  <c r="E118" i="2"/>
  <c r="C21" i="10"/>
  <c r="C118" i="2"/>
  <c r="C122" i="2"/>
  <c r="G650" i="1"/>
  <c r="I571" i="1"/>
  <c r="J571" i="1"/>
  <c r="K571" i="1"/>
  <c r="L560" i="1"/>
  <c r="K545" i="1"/>
  <c r="J644" i="1"/>
  <c r="H338" i="1"/>
  <c r="H352" i="1" s="1"/>
  <c r="G161" i="2"/>
  <c r="D91" i="2"/>
  <c r="D81" i="2"/>
  <c r="D62" i="2"/>
  <c r="D63" i="2" s="1"/>
  <c r="D18" i="2"/>
  <c r="F18" i="2"/>
  <c r="L270" i="1"/>
  <c r="I552" i="1"/>
  <c r="H552" i="1"/>
  <c r="C11" i="10"/>
  <c r="G112" i="1"/>
  <c r="L401" i="1"/>
  <c r="C139" i="2" s="1"/>
  <c r="L393" i="1"/>
  <c r="C138" i="2" s="1"/>
  <c r="E125" i="2"/>
  <c r="E121" i="2"/>
  <c r="E112" i="2"/>
  <c r="D19" i="13"/>
  <c r="C19" i="13" s="1"/>
  <c r="D17" i="13"/>
  <c r="C17" i="13" s="1"/>
  <c r="D14" i="13"/>
  <c r="C14" i="13" s="1"/>
  <c r="L229" i="1"/>
  <c r="G660" i="1" s="1"/>
  <c r="G664" i="1" s="1"/>
  <c r="G672" i="1" s="1"/>
  <c r="C5" i="10" s="1"/>
  <c r="I169" i="1"/>
  <c r="J643" i="1"/>
  <c r="J639" i="1"/>
  <c r="L534" i="1"/>
  <c r="L433" i="1"/>
  <c r="J634" i="1"/>
  <c r="K338" i="1"/>
  <c r="K352" i="1" s="1"/>
  <c r="G338" i="1"/>
  <c r="G352" i="1" s="1"/>
  <c r="C26" i="10"/>
  <c r="J617" i="1"/>
  <c r="I446" i="1"/>
  <c r="G642" i="1" s="1"/>
  <c r="J642" i="1" s="1"/>
  <c r="C18" i="10"/>
  <c r="C78" i="2"/>
  <c r="F112" i="1"/>
  <c r="K598" i="1"/>
  <c r="G647" i="1" s="1"/>
  <c r="J651" i="1"/>
  <c r="F571" i="1"/>
  <c r="H545" i="1"/>
  <c r="G552" i="1"/>
  <c r="I545" i="1"/>
  <c r="F552" i="1"/>
  <c r="G545" i="1"/>
  <c r="K549" i="1"/>
  <c r="L362" i="1"/>
  <c r="H661" i="1"/>
  <c r="D127" i="2"/>
  <c r="D128" i="2" s="1"/>
  <c r="D145" i="2" s="1"/>
  <c r="A40" i="12"/>
  <c r="J655" i="1"/>
  <c r="I257" i="1"/>
  <c r="G257" i="1"/>
  <c r="G271" i="1" s="1"/>
  <c r="F257" i="1"/>
  <c r="F271" i="1" s="1"/>
  <c r="C12" i="10"/>
  <c r="L247" i="1"/>
  <c r="H660" i="1" s="1"/>
  <c r="H257" i="1"/>
  <c r="H271" i="1" s="1"/>
  <c r="E16" i="13"/>
  <c r="C16" i="13" s="1"/>
  <c r="C18" i="2"/>
  <c r="C91" i="2"/>
  <c r="E62" i="2"/>
  <c r="E63" i="2" s="1"/>
  <c r="E128" i="2"/>
  <c r="D18" i="13"/>
  <c r="C18" i="13" s="1"/>
  <c r="G164" i="2"/>
  <c r="G156" i="2"/>
  <c r="E103" i="2"/>
  <c r="G81" i="2"/>
  <c r="F78" i="2"/>
  <c r="F81" i="2" s="1"/>
  <c r="C70" i="2"/>
  <c r="D31" i="2"/>
  <c r="D51" i="2" s="1"/>
  <c r="E31" i="2"/>
  <c r="G157" i="2"/>
  <c r="C123" i="2"/>
  <c r="C20" i="10"/>
  <c r="D12" i="13"/>
  <c r="C12" i="13" s="1"/>
  <c r="C17" i="10"/>
  <c r="E8" i="13"/>
  <c r="C8" i="13" s="1"/>
  <c r="D7" i="13"/>
  <c r="C7" i="13" s="1"/>
  <c r="K257" i="1"/>
  <c r="K271" i="1" s="1"/>
  <c r="L211" i="1"/>
  <c r="D5" i="13"/>
  <c r="C5" i="13" s="1"/>
  <c r="A13" i="12"/>
  <c r="C10" i="10"/>
  <c r="C81" i="2"/>
  <c r="E13" i="13"/>
  <c r="C13" i="13" s="1"/>
  <c r="L290" i="1"/>
  <c r="L539" i="1"/>
  <c r="L382" i="1"/>
  <c r="G636" i="1" s="1"/>
  <c r="J636" i="1" s="1"/>
  <c r="E109" i="2"/>
  <c r="E115" i="2" s="1"/>
  <c r="C62" i="2"/>
  <c r="F661" i="1"/>
  <c r="I661" i="1" s="1"/>
  <c r="C19" i="10"/>
  <c r="C15" i="10"/>
  <c r="C35" i="10"/>
  <c r="C29" i="10"/>
  <c r="D6" i="13"/>
  <c r="C6" i="13" s="1"/>
  <c r="D15" i="13"/>
  <c r="C15" i="13" s="1"/>
  <c r="G649" i="1"/>
  <c r="J649" i="1" s="1"/>
  <c r="L544" i="1"/>
  <c r="L524" i="1"/>
  <c r="J338" i="1"/>
  <c r="J352" i="1" s="1"/>
  <c r="C124" i="2"/>
  <c r="C120" i="2"/>
  <c r="C111" i="2"/>
  <c r="C115" i="2" s="1"/>
  <c r="C56" i="2"/>
  <c r="F662" i="1"/>
  <c r="I662" i="1" s="1"/>
  <c r="C13" i="10"/>
  <c r="I271" i="1"/>
  <c r="K503" i="1"/>
  <c r="K551" i="1"/>
  <c r="H25" i="13"/>
  <c r="F169" i="1"/>
  <c r="E81" i="2"/>
  <c r="L351" i="1"/>
  <c r="H647" i="1"/>
  <c r="G625" i="1"/>
  <c r="J625" i="1" s="1"/>
  <c r="L614" i="1"/>
  <c r="L529" i="1"/>
  <c r="L337" i="1"/>
  <c r="F62" i="2"/>
  <c r="F63" i="2" s="1"/>
  <c r="F104" i="2" s="1"/>
  <c r="C23" i="10"/>
  <c r="G163" i="2"/>
  <c r="G162" i="2"/>
  <c r="G160" i="2"/>
  <c r="G159" i="2"/>
  <c r="G158" i="2"/>
  <c r="G103" i="2"/>
  <c r="F103" i="2"/>
  <c r="C103" i="2"/>
  <c r="F91" i="2"/>
  <c r="E50" i="2"/>
  <c r="C50" i="2"/>
  <c r="F31" i="2"/>
  <c r="C31" i="2"/>
  <c r="E18" i="2"/>
  <c r="E144" i="2"/>
  <c r="F50" i="2"/>
  <c r="F51" i="2" s="1"/>
  <c r="C24" i="10"/>
  <c r="G31" i="13"/>
  <c r="G33" i="13" s="1"/>
  <c r="I338" i="1"/>
  <c r="I352" i="1" s="1"/>
  <c r="J650" i="1"/>
  <c r="L407" i="1"/>
  <c r="C140" i="2" s="1"/>
  <c r="L571" i="1"/>
  <c r="I192" i="1"/>
  <c r="E91" i="2"/>
  <c r="J654" i="1"/>
  <c r="J653" i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F33" i="13" s="1"/>
  <c r="J193" i="1"/>
  <c r="G646" i="1" s="1"/>
  <c r="H193" i="1"/>
  <c r="G629" i="1" s="1"/>
  <c r="J629" i="1" s="1"/>
  <c r="G169" i="1"/>
  <c r="G140" i="1"/>
  <c r="F140" i="1"/>
  <c r="G63" i="2"/>
  <c r="J618" i="1"/>
  <c r="G42" i="2"/>
  <c r="G50" i="2" s="1"/>
  <c r="J51" i="1"/>
  <c r="G16" i="2"/>
  <c r="G18" i="2" s="1"/>
  <c r="J19" i="1"/>
  <c r="G621" i="1" s="1"/>
  <c r="F545" i="1"/>
  <c r="H434" i="1"/>
  <c r="J620" i="1"/>
  <c r="J619" i="1"/>
  <c r="D103" i="2"/>
  <c r="I140" i="1"/>
  <c r="I193" i="1" s="1"/>
  <c r="G630" i="1" s="1"/>
  <c r="J630" i="1" s="1"/>
  <c r="A22" i="12"/>
  <c r="J652" i="1"/>
  <c r="G571" i="1"/>
  <c r="I434" i="1"/>
  <c r="G434" i="1"/>
  <c r="I663" i="1"/>
  <c r="C27" i="10"/>
  <c r="G635" i="1"/>
  <c r="J635" i="1" s="1"/>
  <c r="G104" i="2" l="1"/>
  <c r="D104" i="2"/>
  <c r="C141" i="2"/>
  <c r="C144" i="2" s="1"/>
  <c r="G51" i="2"/>
  <c r="L257" i="1"/>
  <c r="L271" i="1" s="1"/>
  <c r="G632" i="1" s="1"/>
  <c r="J632" i="1" s="1"/>
  <c r="H648" i="1"/>
  <c r="J648" i="1" s="1"/>
  <c r="L408" i="1"/>
  <c r="C36" i="10"/>
  <c r="L338" i="1"/>
  <c r="E51" i="2"/>
  <c r="E104" i="2"/>
  <c r="C39" i="10"/>
  <c r="F193" i="1"/>
  <c r="G627" i="1" s="1"/>
  <c r="J627" i="1" s="1"/>
  <c r="J647" i="1"/>
  <c r="K552" i="1"/>
  <c r="H664" i="1"/>
  <c r="H667" i="1" s="1"/>
  <c r="G667" i="1"/>
  <c r="E145" i="2"/>
  <c r="C128" i="2"/>
  <c r="E33" i="13"/>
  <c r="D35" i="13" s="1"/>
  <c r="F660" i="1"/>
  <c r="F664" i="1" s="1"/>
  <c r="L545" i="1"/>
  <c r="D31" i="13"/>
  <c r="C31" i="13" s="1"/>
  <c r="C63" i="2"/>
  <c r="C104" i="2" s="1"/>
  <c r="C28" i="10"/>
  <c r="D24" i="10" s="1"/>
  <c r="L352" i="1"/>
  <c r="G633" i="1" s="1"/>
  <c r="J633" i="1" s="1"/>
  <c r="C25" i="13"/>
  <c r="H33" i="13"/>
  <c r="C51" i="2"/>
  <c r="G631" i="1"/>
  <c r="J631" i="1" s="1"/>
  <c r="G193" i="1"/>
  <c r="G628" i="1" s="1"/>
  <c r="J628" i="1" s="1"/>
  <c r="G626" i="1"/>
  <c r="J626" i="1" s="1"/>
  <c r="J52" i="1"/>
  <c r="H621" i="1" s="1"/>
  <c r="J621" i="1" s="1"/>
  <c r="C38" i="10"/>
  <c r="C145" i="2" l="1"/>
  <c r="G637" i="1"/>
  <c r="J637" i="1" s="1"/>
  <c r="H646" i="1"/>
  <c r="J646" i="1" s="1"/>
  <c r="H672" i="1"/>
  <c r="C6" i="10" s="1"/>
  <c r="D33" i="13"/>
  <c r="D36" i="13" s="1"/>
  <c r="D23" i="10"/>
  <c r="I660" i="1"/>
  <c r="I664" i="1" s="1"/>
  <c r="I672" i="1" s="1"/>
  <c r="C7" i="10" s="1"/>
  <c r="D27" i="10"/>
  <c r="D10" i="10"/>
  <c r="D26" i="10"/>
  <c r="D11" i="10"/>
  <c r="D13" i="10"/>
  <c r="D17" i="10"/>
  <c r="D18" i="10"/>
  <c r="D21" i="10"/>
  <c r="C30" i="10"/>
  <c r="D16" i="10"/>
  <c r="D19" i="10"/>
  <c r="D20" i="10"/>
  <c r="D15" i="10"/>
  <c r="D25" i="10"/>
  <c r="D22" i="10"/>
  <c r="D12" i="10"/>
  <c r="F672" i="1"/>
  <c r="C4" i="10" s="1"/>
  <c r="F667" i="1"/>
  <c r="H656" i="1"/>
  <c r="C41" i="10"/>
  <c r="D38" i="10" s="1"/>
  <c r="I667" i="1" l="1"/>
  <c r="D28" i="10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<sst xmlns="http://schemas.openxmlformats.org/spreadsheetml/2006/main" count="3955" uniqueCount="913">
  <si>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</si>
  <si>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</si>
  <si>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</si>
  <si>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</si>
  <si>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</si>
  <si>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</si>
  <si>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</si>
  <si>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</si>
  <si>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</si>
  <si>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</si>
  <si>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</si>
  <si>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</si>
  <si>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</si>
  <si>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</si>
  <si>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</si>
  <si>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</si>
  <si>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</si>
  <si>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</si>
  <si>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</si>
  <si>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</si>
  <si>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</si>
  <si>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</si>
  <si>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</si>
  <si>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</si>
  <si>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</si>
  <si>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</si>
  <si>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</si>
  <si>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</si>
  <si>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</si>
  <si>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</si>
  <si>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</si>
  <si>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</si>
  <si>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</si>
  <si>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</si>
  <si>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</si>
  <si>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</si>
  <si>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</si>
  <si>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</si>
  <si>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</si>
  <si>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</si>
  <si>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</si>
  <si>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</si>
  <si>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</si>
  <si>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</si>
  <si>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</si>
  <si>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</si>
  <si>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</si>
  <si>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</si>
  <si>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</si>
  <si>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</si>
  <si>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</si>
  <si>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</si>
  <si>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</si>
  <si>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</si>
  <si>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</si>
  <si>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</si>
  <si>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</si>
  <si>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</si>
  <si>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</si>
  <si>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</si>
  <si>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</si>
  <si>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</si>
  <si>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</si>
  <si>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</si>
  <si>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</si>
  <si>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</si>
  <si>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</si>
  <si>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</si>
  <si>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</si>
  <si>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</si>
  <si>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</si>
  <si>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</si>
  <si>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</si>
  <si>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</si>
  <si>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</si>
  <si>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</si>
  <si>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</si>
  <si>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</si>
  <si>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</si>
  <si>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</si>
  <si>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</si>
  <si>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</si>
  <si>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</si>
  <si>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</si>
  <si>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</si>
  <si>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</si>
  <si>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</si>
  <si>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</si>
  <si>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</si>
  <si>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</si>
  <si>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</si>
  <si>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</si>
  <si>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</si>
  <si>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</si>
  <si>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</si>
  <si>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</si>
  <si>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</si>
  <si>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</si>
  <si>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</si>
  <si>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</si>
  <si>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</si>
  <si>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</si>
  <si>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</si>
  <si>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</si>
  <si>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</si>
  <si>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</si>
  <si>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</si>
  <si>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</si>
  <si>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</si>
  <si>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</si>
  <si>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</si>
  <si>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</si>
  <si>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</si>
  <si>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</si>
  <si>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</si>
  <si>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</si>
  <si>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</si>
  <si>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</si>
  <si>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</si>
  <si>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</si>
  <si>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</si>
  <si>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</si>
  <si>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</si>
  <si>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</si>
  <si>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</si>
  <si>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</si>
  <si>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</si>
  <si>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</si>
  <si>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</si>
  <si>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</si>
  <si>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</si>
  <si>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</si>
  <si>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</si>
  <si>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</si>
  <si>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</si>
  <si>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</si>
  <si>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</si>
  <si>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</si>
  <si>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</si>
  <si>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</si>
  <si>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</si>
  <si>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</si>
  <si>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</si>
  <si>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</si>
  <si>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</si>
  <si>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</si>
  <si>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</si>
  <si>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</si>
  <si>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</si>
  <si>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</si>
  <si>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</si>
  <si>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</si>
  <si>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</si>
  <si>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</si>
  <si>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</si>
  <si>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</si>
  <si>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</si>
  <si>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</si>
  <si>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</si>
  <si>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</si>
  <si>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</si>
  <si>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</si>
  <si>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</si>
  <si>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</si>
  <si>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</si>
  <si>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</si>
  <si>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</si>
  <si>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</si>
  <si>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</si>
  <si>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</si>
  <si>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</si>
  <si>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</si>
  <si>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</si>
  <si>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</si>
  <si>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</si>
  <si>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</si>
  <si>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</si>
  <si>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</si>
  <si>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</si>
  <si>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</si>
  <si>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</si>
  <si>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</si>
  <si>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</si>
  <si>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</si>
  <si>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</si>
  <si>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</si>
  <si>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</si>
  <si>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</si>
  <si>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</si>
  <si>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</si>
  <si>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</si>
  <si>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</si>
  <si>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</si>
  <si>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</si>
  <si>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</si>
  <si>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</si>
  <si>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</si>
  <si>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</si>
  <si>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</si>
  <si>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</si>
  <si>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</si>
  <si>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</si>
  <si>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</si>
  <si>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</si>
  <si>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</si>
  <si>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</si>
  <si>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</si>
  <si>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</si>
  <si>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</si>
  <si>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</si>
  <si>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</si>
  <si>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</si>
  <si>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</si>
  <si>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</si>
  <si>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</si>
  <si>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</si>
  <si>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</si>
  <si>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</si>
  <si>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</si>
  <si>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</si>
  <si>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</si>
  <si>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</si>
  <si>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</si>
  <si>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</si>
  <si>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</si>
  <si>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</si>
  <si>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</si>
  <si>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</si>
  <si>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</si>
  <si>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</si>
  <si>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</si>
  <si>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</si>
  <si>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</si>
  <si>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</si>
  <si>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</si>
  <si>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</si>
  <si>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</si>
  <si>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</si>
  <si>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</si>
  <si>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</si>
  <si>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</si>
  <si>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</si>
  <si>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</si>
  <si>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</si>
  <si>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</si>
  <si>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</si>
  <si>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</si>
  <si>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</si>
  <si>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</si>
  <si>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</si>
  <si>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</si>
  <si>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</si>
  <si>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</si>
  <si>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</si>
  <si>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</si>
  <si>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</si>
  <si>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</si>
  <si>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</si>
  <si>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</si>
  <si>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</si>
  <si>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</si>
  <si>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</si>
  <si>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</si>
  <si>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</si>
  <si>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</si>
  <si>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</si>
  <si>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</si>
  <si>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</si>
  <si>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</si>
  <si>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</si>
  <si>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</si>
  <si>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</si>
  <si>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</si>
  <si>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</si>
  <si>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</si>
  <si>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</si>
  <si>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</si>
  <si>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</si>
  <si>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</si>
  <si>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</si>
  <si>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</si>
  <si>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</si>
  <si>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</si>
  <si>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</si>
  <si>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</si>
  <si>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</si>
  <si>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</si>
  <si>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</si>
  <si>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</si>
  <si>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</si>
  <si>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</si>
  <si>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</si>
  <si>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</si>
  <si>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</si>
  <si>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</si>
  <si>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</si>
  <si>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</si>
  <si>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</si>
  <si>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</si>
  <si>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</si>
  <si>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</si>
  <si>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</si>
  <si>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</si>
  <si>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</si>
  <si>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</si>
  <si>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</si>
  <si>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</si>
  <si>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</si>
  <si>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</si>
  <si>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</si>
  <si>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</si>
  <si>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</si>
  <si>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</si>
  <si>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</si>
  <si>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</si>
  <si>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</si>
  <si>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</si>
  <si>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</si>
  <si>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</si>
  <si>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</si>
  <si>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</si>
  <si>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</si>
  <si>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</si>
  <si>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</si>
  <si>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</si>
  <si>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</si>
  <si>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</si>
  <si>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</si>
  <si>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</si>
  <si>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</si>
  <si>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</si>
  <si>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</si>
  <si>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</si>
  <si>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</si>
  <si>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</si>
  <si>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</si>
  <si>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</si>
  <si>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</si>
  <si>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</si>
  <si>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</si>
  <si>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</si>
  <si>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</si>
  <si>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</si>
  <si>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</si>
  <si>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</si>
  <si>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</si>
  <si>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</si>
  <si>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</si>
  <si>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</si>
  <si>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</si>
  <si>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</si>
  <si>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</si>
  <si>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</si>
  <si>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</si>
  <si>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</si>
  <si>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</si>
  <si>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</si>
  <si>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</si>
  <si>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</si>
  <si>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</si>
  <si>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</si>
  <si>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</si>
  <si>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</si>
  <si>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</si>
  <si>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</si>
  <si>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</si>
  <si>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</si>
  <si>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</si>
  <si>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</si>
  <si>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</si>
  <si>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</si>
  <si>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</si>
  <si>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</si>
  <si>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</si>
  <si>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</si>
  <si>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</si>
  <si>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</si>
  <si>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</si>
  <si>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</si>
  <si>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</si>
  <si>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</si>
  <si>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</si>
  <si>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</si>
  <si>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</si>
  <si>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</si>
  <si>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</si>
  <si>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</si>
  <si>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</si>
  <si>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</si>
  <si>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</si>
  <si>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</si>
  <si>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</si>
  <si>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</si>
  <si>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</si>
  <si>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</si>
  <si>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</si>
  <si>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</si>
  <si>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</si>
  <si>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</si>
  <si>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</si>
  <si>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</si>
  <si>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</si>
  <si>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</si>
  <si>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</si>
  <si>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</si>
  <si>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</si>
  <si>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</si>
  <si>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</si>
  <si>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</si>
  <si>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</si>
  <si>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</si>
  <si>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</si>
  <si>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</si>
  <si>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</si>
  <si>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</si>
  <si>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</si>
  <si>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</si>
  <si>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</si>
  <si>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</si>
  <si>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</si>
  <si>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</si>
  <si>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</si>
  <si>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</si>
  <si>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</si>
  <si>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</si>
  <si>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</si>
  <si>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</si>
  <si>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</si>
  <si>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</si>
  <si>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</si>
  <si>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</si>
  <si>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</si>
  <si>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</si>
  <si>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</si>
  <si>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</si>
  <si>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</si>
  <si>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</si>
  <si>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</si>
  <si>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</si>
  <si>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</si>
  <si>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</si>
  <si>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</si>
  <si>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</si>
  <si>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</si>
  <si>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</si>
  <si>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</si>
  <si>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</si>
  <si>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</si>
  <si>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</si>
  <si>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</si>
  <si>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</si>
  <si>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</si>
  <si>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</si>
  <si>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</si>
  <si>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</si>
  <si>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</si>
  <si>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</si>
  <si>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</si>
  <si>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</si>
  <si>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</si>
  <si>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</si>
  <si>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</si>
  <si>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</si>
  <si>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</si>
  <si>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</si>
  <si>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</si>
  <si>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</si>
  <si>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</si>
  <si>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</si>
  <si>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</si>
  <si>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</si>
  <si>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</si>
  <si>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</si>
  <si>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</si>
  <si>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</si>
  <si>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</si>
  <si>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</si>
  <si>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</si>
  <si>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</si>
  <si>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</si>
  <si>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</si>
  <si>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</si>
  <si>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</si>
  <si>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</si>
  <si>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</si>
  <si>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</si>
  <si>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</si>
  <si>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</si>
  <si>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</si>
  <si>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</si>
  <si>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</si>
  <si>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</si>
  <si>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</si>
  <si>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</si>
  <si>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</si>
  <si>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</si>
  <si>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</si>
  <si>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</si>
  <si>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</si>
  <si>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</si>
  <si>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</si>
  <si>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</si>
  <si>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</si>
  <si>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</si>
  <si>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</si>
  <si>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</si>
  <si>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</si>
  <si>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</si>
  <si>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</si>
  <si>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</si>
  <si>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</si>
  <si>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</si>
  <si>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</si>
  <si>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</si>
  <si>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</si>
  <si>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</si>
  <si>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</si>
  <si>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</si>
  <si>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</si>
  <si>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</si>
  <si>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</si>
  <si>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</si>
  <si>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</si>
  <si>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</si>
  <si>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</si>
  <si>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</si>
  <si>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</si>
  <si>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</si>
  <si>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</si>
  <si>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</si>
  <si>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</si>
  <si>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</si>
  <si>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</si>
  <si>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</si>
  <si>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</si>
  <si>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</si>
  <si>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</si>
  <si>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</si>
  <si>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</si>
  <si>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</si>
  <si>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</si>
  <si>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</si>
  <si>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</si>
  <si>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</si>
  <si>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</si>
  <si>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</si>
  <si>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</si>
  <si>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</si>
  <si>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</si>
  <si>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</si>
  <si>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</si>
  <si>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</si>
  <si>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</si>
  <si>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</si>
  <si>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</si>
  <si>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</si>
  <si>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</si>
  <si>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</si>
  <si>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</si>
  <si>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</si>
  <si>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</si>
  <si>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</si>
  <si>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</si>
  <si>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</si>
  <si>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</si>
  <si>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</si>
  <si>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</si>
  <si>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</si>
  <si>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</si>
  <si>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</si>
  <si>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</si>
  <si>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</si>
  <si>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</si>
  <si>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</si>
  <si>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</si>
  <si>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</si>
  <si>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</si>
  <si>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</si>
  <si>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</si>
  <si>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</si>
  <si>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</si>
  <si>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</si>
  <si>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</si>
  <si>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</si>
  <si>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</si>
  <si>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</si>
  <si>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</si>
  <si>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</si>
  <si>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</si>
  <si>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</si>
  <si>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</si>
  <si>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</si>
  <si>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</si>
  <si>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</si>
  <si>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</si>
  <si>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</si>
  <si>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</si>
  <si>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</si>
  <si>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</si>
  <si>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</si>
  <si>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</si>
  <si>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</si>
  <si>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</si>
  <si>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</si>
  <si>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</si>
  <si>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</si>
  <si>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</si>
  <si>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</si>
  <si>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</si>
  <si>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</si>
  <si>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</si>
  <si>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</si>
  <si>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</si>
  <si>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</si>
  <si>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</si>
  <si>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</si>
  <si>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</si>
  <si>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</si>
  <si>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</si>
  <si>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</si>
  <si>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</si>
  <si>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</si>
  <si>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</si>
  <si>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</si>
  <si>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</si>
  <si>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</si>
  <si>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</si>
  <si>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</si>
  <si>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</si>
  <si>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</si>
  <si>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</si>
  <si>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</si>
  <si>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</si>
  <si>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</si>
  <si>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</si>
  <si>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</si>
  <si>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</si>
  <si>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</si>
  <si>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</si>
  <si>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</si>
  <si>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</si>
  <si>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</si>
  <si>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</si>
  <si>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</si>
  <si>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</si>
  <si>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</si>
  <si>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</si>
  <si>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</si>
  <si>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</si>
  <si>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</si>
  <si>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</si>
  <si>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</si>
  <si>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</si>
  <si>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</si>
  <si>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</si>
  <si>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</si>
  <si>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</si>
  <si>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</si>
  <si>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</si>
  <si>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</si>
  <si>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</si>
  <si>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</si>
  <si>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</si>
  <si>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</si>
  <si>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</si>
  <si>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</si>
  <si>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</si>
  <si>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</si>
  <si>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</si>
  <si>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</si>
  <si>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</si>
  <si>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</si>
  <si>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</si>
  <si>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</si>
  <si>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</si>
  <si>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</si>
  <si>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</si>
  <si>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</si>
  <si>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</si>
  <si>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</si>
  <si>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</si>
  <si>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</si>
  <si>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</si>
  <si>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</si>
  <si>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</si>
  <si>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</si>
  <si>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</si>
  <si>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</si>
  <si>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</si>
  <si>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</si>
  <si>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</si>
  <si>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</si>
  <si>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</si>
  <si>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</si>
  <si>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</si>
  <si>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</si>
  <si>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</si>
  <si>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</si>
  <si>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</si>
  <si>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</si>
  <si>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</si>
  <si>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</si>
  <si>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</si>
  <si>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</si>
  <si>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</si>
  <si>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</si>
  <si>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</si>
  <si>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</si>
  <si>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</si>
  <si>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</si>
  <si>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</si>
  <si>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</si>
  <si>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</si>
  <si>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</si>
  <si>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</si>
  <si>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</si>
  <si>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</si>
  <si>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</si>
  <si>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</si>
  <si>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</si>
  <si>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</si>
  <si>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</si>
  <si>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</si>
  <si>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</si>
  <si>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</si>
  <si>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</si>
  <si>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</si>
  <si>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</si>
  <si>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</si>
  <si>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</si>
  <si>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</si>
  <si>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</si>
  <si>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</si>
  <si>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</si>
  <si>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</si>
  <si>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</si>
  <si>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</si>
  <si>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</si>
  <si>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</si>
  <si>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</si>
  <si>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</si>
  <si>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</si>
  <si>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</si>
  <si>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</si>
  <si>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</si>
  <si>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</si>
  <si>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</si>
  <si>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</si>
  <si>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</si>
  <si>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</si>
  <si>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</si>
  <si>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</si>
  <si>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</si>
  <si>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</si>
  <si>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</si>
  <si>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</si>
  <si>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</si>
  <si>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</si>
  <si>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</si>
  <si>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</si>
  <si>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</si>
  <si>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</si>
  <si>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</si>
  <si>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</si>
  <si>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</si>
  <si>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</si>
  <si>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</si>
  <si>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</si>
  <si>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</si>
  <si>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</si>
  <si>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</si>
  <si>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</si>
  <si>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</si>
  <si>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</si>
  <si>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</si>
  <si>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</si>
  <si>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</si>
  <si>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</si>
  <si>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</si>
  <si>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</si>
  <si>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</si>
  <si>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</si>
  <si>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</si>
  <si>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</si>
  <si>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</si>
  <si>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</si>
  <si>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</si>
  <si>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</si>
  <si>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</si>
  <si>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</si>
  <si>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</si>
  <si>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</si>
  <si>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</si>
  <si>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</si>
  <si>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</si>
  <si>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</si>
  <si>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</si>
  <si>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</si>
  <si>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</si>
  <si>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</si>
  <si>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</si>
  <si>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</si>
  <si>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</si>
  <si>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</si>
  <si>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</si>
  <si>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</si>
  <si>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</si>
  <si>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</si>
  <si>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</si>
  <si>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</si>
  <si>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</si>
  <si>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</si>
  <si>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</si>
  <si>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</si>
  <si>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</si>
  <si>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</si>
  <si>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</si>
  <si>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</si>
  <si>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</si>
  <si>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</si>
  <si>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</si>
  <si>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</si>
  <si>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</si>
  <si>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</si>
  <si>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</si>
  <si>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</si>
  <si>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</si>
  <si>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</si>
  <si>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</si>
  <si>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</si>
  <si>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</si>
  <si>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</si>
  <si>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</si>
  <si>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</si>
  <si>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</si>
  <si>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</si>
  <si>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</si>
  <si>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</si>
  <si>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</si>
  <si>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</si>
  <si>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</si>
  <si>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</si>
  <si>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</si>
  <si>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</si>
  <si>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</si>
  <si>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</si>
  <si>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</si>
  <si>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</si>
  <si>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</si>
  <si>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</si>
  <si>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</si>
  <si>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</si>
  <si>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</si>
  <si>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</si>
  <si>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</si>
  <si>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</si>
  <si>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</si>
  <si>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</si>
  <si>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</si>
  <si>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</si>
  <si>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</si>
  <si>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</si>
  <si>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</si>
  <si>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</si>
  <si>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</si>
  <si>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</si>
  <si>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</si>
  <si>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</si>
  <si>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</si>
  <si>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</si>
  <si>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</si>
  <si>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</si>
  <si>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</si>
  <si>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</si>
  <si>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</si>
  <si>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</si>
  <si>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</si>
  <si>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</si>
  <si>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</si>
  <si>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</si>
  <si>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</si>
  <si>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</si>
  <si>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</si>
  <si>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</si>
  <si>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</si>
  <si>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</si>
  <si>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</si>
  <si>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</si>
  <si>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</si>
  <si>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</si>
  <si>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DOE 25  2013-2014</t>
  </si>
  <si>
    <t>TOTAL FUND EQUITY, JULY 1, 2013</t>
  </si>
  <si>
    <t xml:space="preserve">Total Fund Equity June 30, 2014**** </t>
  </si>
  <si>
    <t>For the Fiscal Year Ending on June 30, 2014</t>
  </si>
  <si>
    <t>For Fiscal Year Ending June 30, 2014</t>
  </si>
  <si>
    <t>Indirect Cost Rate to be determine at later date for FY2015-2016</t>
  </si>
  <si>
    <t>2013-2014 Current Expenditure Per Pupil(in dollars)</t>
  </si>
  <si>
    <t>2013-14-Current Expenditure Per Pupil</t>
  </si>
  <si>
    <t>2013-14-Total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</si>
  <si>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</si>
  <si>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</si>
  <si>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</si>
  <si>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</si>
  <si>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</si>
  <si>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</si>
  <si>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</si>
  <si>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</si>
  <si>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</si>
  <si>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</si>
  <si>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</si>
  <si>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</si>
  <si>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Carry Forward balance</t>
  </si>
  <si>
    <t>Piermont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</si>
</sst>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0" fontId="2" fillId="0" borderId="0" xfId="0" applyNumberFormat="1" applyFont="1" applyProtection="1">
      <protection locked="0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Normal="100" workbookViewId="0">
      <pane xSplit="5" ySplit="3" topLeftCell="F630" activePane="bottomRight" state="frozen"/>
      <selection pane="topRight" activeCell="F1" sqref="F1"/>
      <selection pane="bottomLeft" activeCell="A4" sqref="A4"/>
      <selection pane="bottomRight" activeCell="F50" sqref="F50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890</v>
      </c>
      <c r="I1" s="13"/>
      <c r="J1" s="13"/>
      <c r="K1" s="13"/>
      <c r="L1" s="13"/>
    </row>
    <row r="2" spans="1:14" s="3" customFormat="1" ht="12" customHeight="1" x14ac:dyDescent="0.2">
      <c r="A2" s="176" t="s">
        <v>912</v>
      </c>
      <c r="B2" s="21">
        <v>435</v>
      </c>
      <c r="C2" s="21">
        <v>435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f>32217.56</f>
        <v>32217.56</v>
      </c>
      <c r="G9" s="18"/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/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47013.09</v>
      </c>
      <c r="G13" s="18">
        <v>1879.93</v>
      </c>
      <c r="H13" s="18">
        <v>8264.4500000000007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5272.98</v>
      </c>
      <c r="G14" s="18">
        <v>0</v>
      </c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>
        <v>965</v>
      </c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85468.62999999999</v>
      </c>
      <c r="G19" s="41">
        <f>SUM(G9:G18)</f>
        <v>1879.93</v>
      </c>
      <c r="H19" s="41">
        <f>SUM(H9:H18)</f>
        <v>8264.4500000000007</v>
      </c>
      <c r="I19" s="41">
        <f>SUM(I9:I18)</f>
        <v>0</v>
      </c>
      <c r="J19" s="41">
        <f>SUM(J9:J18)</f>
        <v>0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>
        <v>10144.379999999999</v>
      </c>
      <c r="G22" s="18">
        <v>1879.93</v>
      </c>
      <c r="H22" s="18">
        <v>8264.4500000000007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f>26953.52+1546</f>
        <v>28499.52</v>
      </c>
      <c r="G24" s="18"/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f>118.27+161.12+2.54</f>
        <v>281.93</v>
      </c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>
        <v>0</v>
      </c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38925.83</v>
      </c>
      <c r="G32" s="41">
        <f>SUM(G22:G31)</f>
        <v>1879.93</v>
      </c>
      <c r="H32" s="41">
        <f>SUM(H22:H31)</f>
        <v>8264.4500000000007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301">
        <v>25000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899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>
        <v>0</v>
      </c>
      <c r="G48" s="18"/>
      <c r="H48" s="18"/>
      <c r="I48" s="18"/>
      <c r="J48" s="13">
        <f>SUM(I459)</f>
        <v>0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>
        <v>328.68</v>
      </c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21214.12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46542.8</v>
      </c>
      <c r="G51" s="41">
        <f>SUM(G35:G50)</f>
        <v>0</v>
      </c>
      <c r="H51" s="41">
        <f>SUM(H35:H50)</f>
        <v>0</v>
      </c>
      <c r="I51" s="41">
        <f>SUM(I35:I50)</f>
        <v>0</v>
      </c>
      <c r="J51" s="41">
        <f>SUM(J35:J50)</f>
        <v>0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85468.63</v>
      </c>
      <c r="G52" s="41">
        <f>G51+G32</f>
        <v>1879.93</v>
      </c>
      <c r="H52" s="41">
        <f>H51+H32</f>
        <v>8264.4500000000007</v>
      </c>
      <c r="I52" s="41">
        <f>I51+I32</f>
        <v>0</v>
      </c>
      <c r="J52" s="41">
        <f>J51+J32</f>
        <v>0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1099751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1099751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>
        <v>16887</v>
      </c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16887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69.91</v>
      </c>
      <c r="G96" s="18"/>
      <c r="H96" s="18"/>
      <c r="I96" s="18"/>
      <c r="J96" s="18"/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14663.6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v>75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>
        <v>469.48</v>
      </c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2217.17</v>
      </c>
      <c r="G110" s="18">
        <v>123</v>
      </c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2831.56</v>
      </c>
      <c r="G111" s="41">
        <f>SUM(G96:G110)</f>
        <v>14786.6</v>
      </c>
      <c r="H111" s="41">
        <f>SUM(H96:H110)</f>
        <v>0</v>
      </c>
      <c r="I111" s="41">
        <f>SUM(I96:I110)</f>
        <v>0</v>
      </c>
      <c r="J111" s="41">
        <f>SUM(J96:J110)</f>
        <v>0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1119469.56</v>
      </c>
      <c r="G112" s="41">
        <f>G60+G111</f>
        <v>14786.6</v>
      </c>
      <c r="H112" s="41">
        <f>H60+H79+H94+H111</f>
        <v>0</v>
      </c>
      <c r="I112" s="41">
        <f>I60+I111</f>
        <v>0</v>
      </c>
      <c r="J112" s="41">
        <f>J60+J111</f>
        <v>0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290425.52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235270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525695.52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1350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>
        <v>67605.070000000007</v>
      </c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>
        <v>4117.3999999999996</v>
      </c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452.03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73072.47</v>
      </c>
      <c r="G136" s="41">
        <f>SUM(G123:G135)</f>
        <v>452.03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598767.99</v>
      </c>
      <c r="G140" s="41">
        <f>G121+SUM(G136:G137)</f>
        <v>452.03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>
        <v>10141.73</v>
      </c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22017.1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f>5460.02+5378.35</f>
        <v>10838.37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f>9859.66+2228.73</f>
        <v>12088.39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23810.560000000001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23810.560000000001</v>
      </c>
      <c r="G162" s="41">
        <f>SUM(G150:G161)</f>
        <v>12088.39</v>
      </c>
      <c r="H162" s="41">
        <f>SUM(H150:H161)</f>
        <v>42997.2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>
        <v>1687.13</v>
      </c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25497.690000000002</v>
      </c>
      <c r="G169" s="41">
        <f>G147+G162+SUM(G163:G168)</f>
        <v>12088.39</v>
      </c>
      <c r="H169" s="41">
        <f>H147+H162+SUM(H163:H168)</f>
        <v>42997.2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23358.55</v>
      </c>
      <c r="H179" s="18"/>
      <c r="I179" s="18"/>
      <c r="J179" s="18">
        <v>25000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>
        <v>0</v>
      </c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23358.55</v>
      </c>
      <c r="H183" s="41">
        <f>SUM(H179:H182)</f>
        <v>0</v>
      </c>
      <c r="I183" s="41">
        <f>SUM(I179:I182)</f>
        <v>0</v>
      </c>
      <c r="J183" s="41">
        <f>SUM(J179:J182)</f>
        <v>25000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23358.55</v>
      </c>
      <c r="H192" s="41">
        <f>+H183+SUM(H188:H191)</f>
        <v>0</v>
      </c>
      <c r="I192" s="41">
        <f>I177+I183+SUM(I188:I191)</f>
        <v>0</v>
      </c>
      <c r="J192" s="41">
        <f>J183</f>
        <v>25000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1743735.24</v>
      </c>
      <c r="G193" s="47">
        <f>G112+G140+G169+G192</f>
        <v>50685.57</v>
      </c>
      <c r="H193" s="47">
        <f>H112+H140+H169+H192</f>
        <v>42997.2</v>
      </c>
      <c r="I193" s="47">
        <f>I112+I140+I169+I192</f>
        <v>0</v>
      </c>
      <c r="J193" s="47">
        <f>J112+J140+J192</f>
        <v>25000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390340.72</v>
      </c>
      <c r="G197" s="18">
        <f>135531.34+1320.5</f>
        <v>136851.84</v>
      </c>
      <c r="H197" s="18">
        <v>27600.89</v>
      </c>
      <c r="I197" s="18">
        <v>14556.31</v>
      </c>
      <c r="J197" s="18"/>
      <c r="K197" s="18">
        <v>645.9</v>
      </c>
      <c r="L197" s="19">
        <f>SUM(F197:K197)</f>
        <v>569995.66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89848.28</v>
      </c>
      <c r="G198" s="18">
        <f>33312.18+285</f>
        <v>33597.18</v>
      </c>
      <c r="H198" s="18">
        <f>2720+21245.33</f>
        <v>23965.33</v>
      </c>
      <c r="I198" s="18">
        <v>3815.52</v>
      </c>
      <c r="J198" s="18"/>
      <c r="K198" s="18"/>
      <c r="L198" s="19">
        <f>SUM(F198:K198)</f>
        <v>151226.30999999997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7141.5</v>
      </c>
      <c r="G200" s="18">
        <v>1234.44</v>
      </c>
      <c r="H200" s="18">
        <v>400</v>
      </c>
      <c r="I200" s="18">
        <v>966.71</v>
      </c>
      <c r="J200" s="18"/>
      <c r="K200" s="18">
        <v>1165</v>
      </c>
      <c r="L200" s="19">
        <f>SUM(F200:K200)</f>
        <v>10907.650000000001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6245.12</v>
      </c>
      <c r="G202" s="18">
        <f>477.7+21</f>
        <v>498.7</v>
      </c>
      <c r="H202" s="18">
        <f>55124.81+337.5+328.68</f>
        <v>55790.99</v>
      </c>
      <c r="I202" s="18">
        <v>2428.1999999999998</v>
      </c>
      <c r="J202" s="18"/>
      <c r="K202" s="18">
        <v>1179.25</v>
      </c>
      <c r="L202" s="19">
        <f t="shared" ref="L202:L208" si="0">SUM(F202:K202)</f>
        <v>66142.259999999995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51981.68</v>
      </c>
      <c r="G203" s="18">
        <f>28745.66+8</f>
        <v>28753.66</v>
      </c>
      <c r="H203" s="18">
        <f>7357.46+2010.94</f>
        <v>9368.4</v>
      </c>
      <c r="I203" s="18">
        <v>5520.17</v>
      </c>
      <c r="J203" s="18"/>
      <c r="K203" s="18">
        <v>72</v>
      </c>
      <c r="L203" s="19">
        <f t="shared" si="0"/>
        <v>95695.909999999989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2056.25</v>
      </c>
      <c r="G204" s="18">
        <v>157.37</v>
      </c>
      <c r="H204" s="18">
        <f>57123.3+1737</f>
        <v>58860.3</v>
      </c>
      <c r="I204" s="18">
        <v>510.27</v>
      </c>
      <c r="J204" s="18"/>
      <c r="K204" s="18">
        <v>1386.67</v>
      </c>
      <c r="L204" s="19">
        <f t="shared" si="0"/>
        <v>62970.86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77700.479999999996</v>
      </c>
      <c r="G205" s="18">
        <f>27448.82+265</f>
        <v>27713.82</v>
      </c>
      <c r="H205" s="18">
        <v>2836.27</v>
      </c>
      <c r="I205" s="18">
        <v>1116.8699999999999</v>
      </c>
      <c r="J205" s="18">
        <v>59.99</v>
      </c>
      <c r="K205" s="18">
        <v>649</v>
      </c>
      <c r="L205" s="19">
        <f t="shared" si="0"/>
        <v>110076.43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36266.49</v>
      </c>
      <c r="G207" s="18">
        <f>15144.49+116</f>
        <v>15260.49</v>
      </c>
      <c r="H207" s="18">
        <f>8960.66+69002.57+692</f>
        <v>78655.23000000001</v>
      </c>
      <c r="I207" s="18">
        <v>33818.400000000001</v>
      </c>
      <c r="J207" s="18">
        <v>11536.06</v>
      </c>
      <c r="K207" s="18">
        <v>150</v>
      </c>
      <c r="L207" s="19">
        <f t="shared" si="0"/>
        <v>175686.67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4"/>
      <c r="H208" s="18">
        <v>38452.33</v>
      </c>
      <c r="I208" s="18"/>
      <c r="J208" s="18"/>
      <c r="K208" s="18"/>
      <c r="L208" s="19">
        <f t="shared" si="0"/>
        <v>38452.33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>
        <v>2416.1799999999998</v>
      </c>
      <c r="I209" s="18"/>
      <c r="J209" s="18"/>
      <c r="K209" s="18"/>
      <c r="L209" s="19">
        <f>SUM(F209:K209)</f>
        <v>2416.1799999999998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661580.52</v>
      </c>
      <c r="G211" s="41">
        <f t="shared" si="1"/>
        <v>244067.5</v>
      </c>
      <c r="H211" s="41">
        <f t="shared" si="1"/>
        <v>298345.92</v>
      </c>
      <c r="I211" s="41">
        <f t="shared" si="1"/>
        <v>62732.45</v>
      </c>
      <c r="J211" s="41">
        <f t="shared" si="1"/>
        <v>11596.05</v>
      </c>
      <c r="K211" s="41">
        <f t="shared" si="1"/>
        <v>5247.82</v>
      </c>
      <c r="L211" s="41">
        <f t="shared" si="1"/>
        <v>1283570.26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330167.96000000002</v>
      </c>
      <c r="I233" s="18"/>
      <c r="J233" s="18"/>
      <c r="K233" s="18"/>
      <c r="L233" s="19">
        <f>SUM(F233:K233)</f>
        <v>330167.96000000002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>
        <v>46320.74</v>
      </c>
      <c r="I234" s="18"/>
      <c r="J234" s="18"/>
      <c r="K234" s="18"/>
      <c r="L234" s="19">
        <f>SUM(F234:K234)</f>
        <v>46320.74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>
        <v>53983</v>
      </c>
      <c r="I235" s="18"/>
      <c r="J235" s="18"/>
      <c r="K235" s="18"/>
      <c r="L235" s="19">
        <f>SUM(F235:K235)</f>
        <v>53983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>
        <v>1140</v>
      </c>
      <c r="I236" s="18"/>
      <c r="J236" s="18"/>
      <c r="K236" s="18"/>
      <c r="L236" s="19">
        <f>SUM(F236:K236)</f>
        <v>1140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>
        <v>3010.41</v>
      </c>
      <c r="I238" s="18"/>
      <c r="J238" s="18"/>
      <c r="K238" s="18"/>
      <c r="L238" s="19">
        <f t="shared" ref="L238:L244" si="4">SUM(F238:K238)</f>
        <v>3010.41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1366.25</v>
      </c>
      <c r="G240" s="18">
        <v>104.49</v>
      </c>
      <c r="H240" s="18">
        <f>37998.2+1158.01</f>
        <v>39156.21</v>
      </c>
      <c r="I240" s="18">
        <v>278.5</v>
      </c>
      <c r="J240" s="18"/>
      <c r="K240" s="18">
        <v>924.45</v>
      </c>
      <c r="L240" s="19">
        <f t="shared" si="4"/>
        <v>41829.899999999994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19712.38</v>
      </c>
      <c r="I244" s="18"/>
      <c r="J244" s="18"/>
      <c r="K244" s="18"/>
      <c r="L244" s="19">
        <f t="shared" si="4"/>
        <v>19712.38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1366.25</v>
      </c>
      <c r="G247" s="41">
        <f t="shared" si="5"/>
        <v>104.49</v>
      </c>
      <c r="H247" s="41">
        <f t="shared" si="5"/>
        <v>493490.7</v>
      </c>
      <c r="I247" s="41">
        <f t="shared" si="5"/>
        <v>278.5</v>
      </c>
      <c r="J247" s="41">
        <f t="shared" si="5"/>
        <v>0</v>
      </c>
      <c r="K247" s="41">
        <f t="shared" si="5"/>
        <v>924.45</v>
      </c>
      <c r="L247" s="41">
        <f t="shared" si="5"/>
        <v>496164.39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662946.77</v>
      </c>
      <c r="G257" s="41">
        <f t="shared" si="8"/>
        <v>244171.99</v>
      </c>
      <c r="H257" s="41">
        <f t="shared" si="8"/>
        <v>791836.62</v>
      </c>
      <c r="I257" s="41">
        <f t="shared" si="8"/>
        <v>63010.95</v>
      </c>
      <c r="J257" s="41">
        <f t="shared" si="8"/>
        <v>11596.05</v>
      </c>
      <c r="K257" s="41">
        <f t="shared" si="8"/>
        <v>6172.2699999999995</v>
      </c>
      <c r="L257" s="41">
        <f t="shared" si="8"/>
        <v>1779734.65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23358.55</v>
      </c>
      <c r="L263" s="19">
        <f>SUM(F263:K263)</f>
        <v>23358.55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25000</v>
      </c>
      <c r="L266" s="19">
        <f t="shared" si="9"/>
        <v>25000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48358.55</v>
      </c>
      <c r="L270" s="41">
        <f t="shared" si="9"/>
        <v>48358.55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662946.77</v>
      </c>
      <c r="G271" s="42">
        <f t="shared" si="11"/>
        <v>244171.99</v>
      </c>
      <c r="H271" s="42">
        <f t="shared" si="11"/>
        <v>791836.62</v>
      </c>
      <c r="I271" s="42">
        <f t="shared" si="11"/>
        <v>63010.95</v>
      </c>
      <c r="J271" s="42">
        <f t="shared" si="11"/>
        <v>11596.05</v>
      </c>
      <c r="K271" s="42">
        <f t="shared" si="11"/>
        <v>54530.82</v>
      </c>
      <c r="L271" s="42">
        <f t="shared" si="11"/>
        <v>1828093.2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/>
      <c r="G276" s="18"/>
      <c r="H276" s="18"/>
      <c r="I276" s="18"/>
      <c r="J276" s="18"/>
      <c r="K276" s="18"/>
      <c r="L276" s="19">
        <f>SUM(F276:K276)</f>
        <v>0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25112.560000000001</v>
      </c>
      <c r="G277" s="18">
        <v>9857.94</v>
      </c>
      <c r="H277" s="18"/>
      <c r="I277" s="18"/>
      <c r="J277" s="18"/>
      <c r="K277" s="18"/>
      <c r="L277" s="19">
        <f>SUM(F277:K277)</f>
        <v>34970.5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>
        <v>1750</v>
      </c>
      <c r="G279" s="18">
        <v>381.68</v>
      </c>
      <c r="H279" s="18"/>
      <c r="I279" s="18"/>
      <c r="J279" s="18"/>
      <c r="K279" s="18"/>
      <c r="L279" s="19">
        <f>SUM(F279:K279)</f>
        <v>2131.6799999999998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v>2600</v>
      </c>
      <c r="G282" s="18">
        <v>567.05999999999995</v>
      </c>
      <c r="H282" s="18">
        <v>1500</v>
      </c>
      <c r="I282" s="18">
        <v>792.96</v>
      </c>
      <c r="J282" s="18"/>
      <c r="K282" s="18"/>
      <c r="L282" s="19">
        <f t="shared" si="12"/>
        <v>5460.0199999999995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>
        <v>435</v>
      </c>
      <c r="L283" s="19">
        <f t="shared" si="12"/>
        <v>435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29462.560000000001</v>
      </c>
      <c r="G290" s="42">
        <f t="shared" si="13"/>
        <v>10806.68</v>
      </c>
      <c r="H290" s="42">
        <f t="shared" si="13"/>
        <v>1500</v>
      </c>
      <c r="I290" s="42">
        <f t="shared" si="13"/>
        <v>792.96</v>
      </c>
      <c r="J290" s="42">
        <f t="shared" si="13"/>
        <v>0</v>
      </c>
      <c r="K290" s="42">
        <f t="shared" si="13"/>
        <v>435</v>
      </c>
      <c r="L290" s="41">
        <f t="shared" si="13"/>
        <v>42997.2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29462.560000000001</v>
      </c>
      <c r="G338" s="41">
        <f t="shared" si="20"/>
        <v>10806.68</v>
      </c>
      <c r="H338" s="41">
        <f t="shared" si="20"/>
        <v>1500</v>
      </c>
      <c r="I338" s="41">
        <f t="shared" si="20"/>
        <v>792.96</v>
      </c>
      <c r="J338" s="41">
        <f t="shared" si="20"/>
        <v>0</v>
      </c>
      <c r="K338" s="41">
        <f t="shared" si="20"/>
        <v>435</v>
      </c>
      <c r="L338" s="41">
        <f t="shared" si="20"/>
        <v>42997.2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29462.560000000001</v>
      </c>
      <c r="G352" s="41">
        <f>G338</f>
        <v>10806.68</v>
      </c>
      <c r="H352" s="41">
        <f>H338</f>
        <v>1500</v>
      </c>
      <c r="I352" s="41">
        <f>I338</f>
        <v>792.96</v>
      </c>
      <c r="J352" s="41">
        <f>J338</f>
        <v>0</v>
      </c>
      <c r="K352" s="47">
        <f>K338+K351</f>
        <v>435</v>
      </c>
      <c r="L352" s="41">
        <f>L338+L351</f>
        <v>42997.2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/>
      <c r="G358" s="18"/>
      <c r="H358" s="18">
        <f>47019.07+2471.56+617.81</f>
        <v>50108.439999999995</v>
      </c>
      <c r="I358" s="18">
        <v>577.13</v>
      </c>
      <c r="J358" s="18"/>
      <c r="K358" s="18"/>
      <c r="L358" s="13">
        <f>SUM(F358:K358)</f>
        <v>50685.569999999992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50108.439999999995</v>
      </c>
      <c r="I362" s="47">
        <f t="shared" si="22"/>
        <v>577.13</v>
      </c>
      <c r="J362" s="47">
        <f t="shared" si="22"/>
        <v>0</v>
      </c>
      <c r="K362" s="47">
        <f t="shared" si="22"/>
        <v>0</v>
      </c>
      <c r="L362" s="47">
        <f t="shared" si="22"/>
        <v>50685.569999999992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/>
      <c r="G367" s="18"/>
      <c r="H367" s="18"/>
      <c r="I367" s="56">
        <f>SUM(F367:H367)</f>
        <v>0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577.13</v>
      </c>
      <c r="G368" s="63"/>
      <c r="H368" s="63"/>
      <c r="I368" s="56">
        <f>SUM(F368:H368)</f>
        <v>577.13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577.13</v>
      </c>
      <c r="G369" s="47">
        <f>SUM(G367:G368)</f>
        <v>0</v>
      </c>
      <c r="H369" s="47">
        <f>SUM(H367:H368)</f>
        <v>0</v>
      </c>
      <c r="I369" s="47">
        <f>SUM(I367:I368)</f>
        <v>577.13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>
        <v>20000</v>
      </c>
      <c r="H397" s="18"/>
      <c r="I397" s="18"/>
      <c r="J397" s="24" t="s">
        <v>289</v>
      </c>
      <c r="K397" s="24" t="s">
        <v>289</v>
      </c>
      <c r="L397" s="56">
        <f t="shared" si="26"/>
        <v>20000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>
        <v>5000</v>
      </c>
      <c r="H398" s="18"/>
      <c r="I398" s="18"/>
      <c r="J398" s="24" t="s">
        <v>289</v>
      </c>
      <c r="K398" s="24" t="s">
        <v>289</v>
      </c>
      <c r="L398" s="56">
        <f t="shared" si="26"/>
        <v>5000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25000</v>
      </c>
      <c r="H401" s="47">
        <f>SUM(H395:H400)</f>
        <v>0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25000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25000</v>
      </c>
      <c r="H408" s="47">
        <f>H393+H401+H407</f>
        <v>0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25000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>
        <v>20000</v>
      </c>
      <c r="J424" s="18"/>
      <c r="K424" s="18"/>
      <c r="L424" s="56">
        <f t="shared" si="29"/>
        <v>20000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>
        <v>5000</v>
      </c>
      <c r="J425" s="18"/>
      <c r="K425" s="18"/>
      <c r="L425" s="56">
        <f t="shared" si="29"/>
        <v>5000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25000</v>
      </c>
      <c r="J427" s="47">
        <f t="shared" si="30"/>
        <v>0</v>
      </c>
      <c r="K427" s="47">
        <f t="shared" si="30"/>
        <v>0</v>
      </c>
      <c r="L427" s="47">
        <f t="shared" si="30"/>
        <v>25000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25000</v>
      </c>
      <c r="J434" s="47">
        <f t="shared" si="32"/>
        <v>0</v>
      </c>
      <c r="K434" s="47">
        <f t="shared" si="32"/>
        <v>0</v>
      </c>
      <c r="L434" s="47">
        <f t="shared" si="32"/>
        <v>25000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>
        <v>0</v>
      </c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0</v>
      </c>
      <c r="H446" s="13">
        <f>SUM(H439:H445)</f>
        <v>0</v>
      </c>
      <c r="I446" s="13">
        <f>SUM(I439:I445)</f>
        <v>0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/>
      <c r="H459" s="18"/>
      <c r="I459" s="56">
        <f t="shared" si="34"/>
        <v>0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0</v>
      </c>
      <c r="H460" s="83">
        <f>SUM(H454:H459)</f>
        <v>0</v>
      </c>
      <c r="I460" s="83">
        <f>SUM(I454:I459)</f>
        <v>0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0</v>
      </c>
      <c r="H461" s="42">
        <f>H452+H460</f>
        <v>0</v>
      </c>
      <c r="I461" s="42">
        <f>I452+I460</f>
        <v>0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891</v>
      </c>
      <c r="B465" s="105">
        <v>19</v>
      </c>
      <c r="C465" s="111">
        <v>1</v>
      </c>
      <c r="D465" s="2" t="s">
        <v>433</v>
      </c>
      <c r="E465" s="111"/>
      <c r="F465" s="18">
        <v>130900.76</v>
      </c>
      <c r="G465" s="18"/>
      <c r="H465" s="18"/>
      <c r="I465" s="18"/>
      <c r="J465" s="18"/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1743735.24</v>
      </c>
      <c r="G468" s="18">
        <v>50685.57</v>
      </c>
      <c r="H468" s="18">
        <v>42997.2</v>
      </c>
      <c r="I468" s="18">
        <v>0</v>
      </c>
      <c r="J468" s="18">
        <v>25000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1743735.24</v>
      </c>
      <c r="G470" s="53">
        <f>SUM(G468:G469)</f>
        <v>50685.57</v>
      </c>
      <c r="H470" s="53">
        <f>SUM(H468:H469)</f>
        <v>42997.2</v>
      </c>
      <c r="I470" s="53">
        <f>SUM(I468:I469)</f>
        <v>0</v>
      </c>
      <c r="J470" s="53">
        <f>SUM(J468:J469)</f>
        <v>25000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1828093.2</v>
      </c>
      <c r="G472" s="18">
        <v>50685.57</v>
      </c>
      <c r="H472" s="18">
        <v>42997.2</v>
      </c>
      <c r="I472" s="18"/>
      <c r="J472" s="18">
        <v>25000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1828093.2</v>
      </c>
      <c r="G474" s="53">
        <f>SUM(G472:G473)</f>
        <v>50685.57</v>
      </c>
      <c r="H474" s="53">
        <f>SUM(H472:H473)</f>
        <v>42997.2</v>
      </c>
      <c r="I474" s="53">
        <f>SUM(I472:I473)</f>
        <v>0</v>
      </c>
      <c r="J474" s="53">
        <f>SUM(J472:J473)</f>
        <v>25000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892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46542.800000000047</v>
      </c>
      <c r="G476" s="53">
        <f>(G465+G470)- G474</f>
        <v>0</v>
      </c>
      <c r="H476" s="53">
        <f>(H465+H470)- H474</f>
        <v>0</v>
      </c>
      <c r="I476" s="53">
        <f>(I465+I470)- I474</f>
        <v>0</v>
      </c>
      <c r="J476" s="53">
        <f>(J465+J470)- J474</f>
        <v>0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 t="s">
        <v>911</v>
      </c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893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894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89728.28</v>
      </c>
      <c r="G521" s="18">
        <v>33286.019999999997</v>
      </c>
      <c r="H521" s="18">
        <f>2660+21245.33</f>
        <v>23905.33</v>
      </c>
      <c r="I521" s="18">
        <v>586.77</v>
      </c>
      <c r="J521" s="18"/>
      <c r="K521" s="18"/>
      <c r="L521" s="88">
        <f>SUM(F521:K521)</f>
        <v>147506.4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>
        <v>46320.74</v>
      </c>
      <c r="I523" s="18"/>
      <c r="J523" s="18"/>
      <c r="K523" s="18"/>
      <c r="L523" s="88">
        <f>SUM(F523:K523)</f>
        <v>46320.74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89728.28</v>
      </c>
      <c r="G524" s="108">
        <f t="shared" ref="G524:L524" si="36">SUM(G521:G523)</f>
        <v>33286.019999999997</v>
      </c>
      <c r="H524" s="108">
        <f t="shared" si="36"/>
        <v>70226.070000000007</v>
      </c>
      <c r="I524" s="108">
        <f t="shared" si="36"/>
        <v>586.77</v>
      </c>
      <c r="J524" s="108">
        <f t="shared" si="36"/>
        <v>0</v>
      </c>
      <c r="K524" s="108">
        <f t="shared" si="36"/>
        <v>0</v>
      </c>
      <c r="L524" s="89">
        <f t="shared" si="36"/>
        <v>193827.13999999998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/>
      <c r="G526" s="18"/>
      <c r="H526" s="18">
        <v>38760.660000000003</v>
      </c>
      <c r="I526" s="18">
        <v>307.39</v>
      </c>
      <c r="J526" s="18"/>
      <c r="K526" s="18"/>
      <c r="L526" s="88">
        <f>SUM(F526:K526)</f>
        <v>39068.050000000003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>
        <v>3010.41</v>
      </c>
      <c r="I528" s="18"/>
      <c r="J528" s="18"/>
      <c r="K528" s="18"/>
      <c r="L528" s="88">
        <f>SUM(F528:K528)</f>
        <v>3010.41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41771.070000000007</v>
      </c>
      <c r="I529" s="89">
        <f t="shared" si="37"/>
        <v>307.39</v>
      </c>
      <c r="J529" s="89">
        <f t="shared" si="37"/>
        <v>0</v>
      </c>
      <c r="K529" s="89">
        <f t="shared" si="37"/>
        <v>0</v>
      </c>
      <c r="L529" s="89">
        <f t="shared" si="37"/>
        <v>42078.460000000006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/>
      <c r="G531" s="18"/>
      <c r="H531" s="18">
        <v>11827</v>
      </c>
      <c r="I531" s="18"/>
      <c r="J531" s="18"/>
      <c r="K531" s="18"/>
      <c r="L531" s="88">
        <f>SUM(F531:K531)</f>
        <v>11827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>
        <v>7249</v>
      </c>
      <c r="I533" s="18"/>
      <c r="J533" s="18"/>
      <c r="K533" s="18"/>
      <c r="L533" s="88">
        <f>SUM(F533:K533)</f>
        <v>7249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0</v>
      </c>
      <c r="G534" s="89">
        <f t="shared" ref="G534:L534" si="38">SUM(G531:G533)</f>
        <v>0</v>
      </c>
      <c r="H534" s="89">
        <f t="shared" si="38"/>
        <v>19076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19076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7969.18</v>
      </c>
      <c r="I541" s="18"/>
      <c r="J541" s="18"/>
      <c r="K541" s="18"/>
      <c r="L541" s="88">
        <f>SUM(F541:K541)</f>
        <v>7969.18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7969.18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7969.18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89728.28</v>
      </c>
      <c r="G545" s="89">
        <f t="shared" ref="G545:L545" si="41">G524+G529+G534+G539+G544</f>
        <v>33286.019999999997</v>
      </c>
      <c r="H545" s="89">
        <f t="shared" si="41"/>
        <v>139042.32</v>
      </c>
      <c r="I545" s="89">
        <f t="shared" si="41"/>
        <v>894.16</v>
      </c>
      <c r="J545" s="89">
        <f t="shared" si="41"/>
        <v>0</v>
      </c>
      <c r="K545" s="89">
        <f t="shared" si="41"/>
        <v>0</v>
      </c>
      <c r="L545" s="89">
        <f t="shared" si="41"/>
        <v>262950.77999999997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147506.4</v>
      </c>
      <c r="G549" s="87">
        <f>L526</f>
        <v>39068.050000000003</v>
      </c>
      <c r="H549" s="87">
        <f>L531</f>
        <v>11827</v>
      </c>
      <c r="I549" s="87">
        <f>L536</f>
        <v>0</v>
      </c>
      <c r="J549" s="87">
        <f>L541</f>
        <v>7969.18</v>
      </c>
      <c r="K549" s="87">
        <f>SUM(F549:J549)</f>
        <v>206370.63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46320.74</v>
      </c>
      <c r="G551" s="87">
        <f>L528</f>
        <v>3010.41</v>
      </c>
      <c r="H551" s="87">
        <f>L533</f>
        <v>7249</v>
      </c>
      <c r="I551" s="87">
        <f>L538</f>
        <v>0</v>
      </c>
      <c r="J551" s="87">
        <f>L543</f>
        <v>0</v>
      </c>
      <c r="K551" s="87">
        <f>SUM(F551:J551)</f>
        <v>56580.149999999994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193827.13999999998</v>
      </c>
      <c r="G552" s="89">
        <f t="shared" si="42"/>
        <v>42078.460000000006</v>
      </c>
      <c r="H552" s="89">
        <f t="shared" si="42"/>
        <v>19076</v>
      </c>
      <c r="I552" s="89">
        <f t="shared" si="42"/>
        <v>0</v>
      </c>
      <c r="J552" s="89">
        <f t="shared" si="42"/>
        <v>7969.18</v>
      </c>
      <c r="K552" s="89">
        <f t="shared" si="42"/>
        <v>262950.78000000003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>
        <v>25112.560000000001</v>
      </c>
      <c r="G557" s="18">
        <v>9857.94</v>
      </c>
      <c r="H557" s="18"/>
      <c r="I557" s="18"/>
      <c r="J557" s="18"/>
      <c r="K557" s="18"/>
      <c r="L557" s="88">
        <f>SUM(F557:K557)</f>
        <v>34970.5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25112.560000000001</v>
      </c>
      <c r="G560" s="108">
        <f t="shared" si="43"/>
        <v>9857.94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34970.5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25112.560000000001</v>
      </c>
      <c r="G571" s="89">
        <f t="shared" ref="G571:L571" si="46">G560+G565+G570</f>
        <v>9857.94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34970.5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>
        <v>89780</v>
      </c>
      <c r="I575" s="87">
        <f>SUM(F575:H575)</f>
        <v>89780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>
        <v>286708.7</v>
      </c>
      <c r="I576" s="87">
        <f t="shared" ref="I576:I587" si="47">SUM(F576:H576)</f>
        <v>286708.7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>
        <v>21163</v>
      </c>
      <c r="G578" s="18"/>
      <c r="H578" s="18"/>
      <c r="I578" s="87">
        <f t="shared" si="47"/>
        <v>21163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/>
      <c r="G582" s="18"/>
      <c r="H582" s="18"/>
      <c r="I582" s="87">
        <f t="shared" si="47"/>
        <v>0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>
        <v>53983</v>
      </c>
      <c r="I585" s="87">
        <f t="shared" si="47"/>
        <v>53983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28825.25</v>
      </c>
      <c r="I591" s="18"/>
      <c r="J591" s="18">
        <v>19476.23</v>
      </c>
      <c r="K591" s="104">
        <f t="shared" ref="K591:K597" si="48">SUM(H591:J591)</f>
        <v>48301.479999999996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7969.18</v>
      </c>
      <c r="I592" s="18"/>
      <c r="J592" s="18"/>
      <c r="K592" s="104">
        <f t="shared" si="48"/>
        <v>7969.18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>
        <v>236.15</v>
      </c>
      <c r="K593" s="104">
        <f t="shared" si="48"/>
        <v>236.15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1657.9</v>
      </c>
      <c r="I595" s="18"/>
      <c r="J595" s="18"/>
      <c r="K595" s="104">
        <f t="shared" si="48"/>
        <v>1657.9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38452.33</v>
      </c>
      <c r="I598" s="108">
        <f>SUM(I591:I597)</f>
        <v>0</v>
      </c>
      <c r="J598" s="108">
        <f>SUM(J591:J597)</f>
        <v>19712.38</v>
      </c>
      <c r="K598" s="108">
        <f>SUM(K591:K597)</f>
        <v>58164.71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11596.05</v>
      </c>
      <c r="I604" s="18"/>
      <c r="J604" s="18"/>
      <c r="K604" s="104">
        <f>SUM(H604:J604)</f>
        <v>11596.05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11596.05</v>
      </c>
      <c r="I605" s="108">
        <f>SUM(I602:I604)</f>
        <v>0</v>
      </c>
      <c r="J605" s="108">
        <f>SUM(J602:J604)</f>
        <v>0</v>
      </c>
      <c r="K605" s="108">
        <f>SUM(K602:K604)</f>
        <v>11596.05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85468.62999999999</v>
      </c>
      <c r="H617" s="109">
        <f>SUM(F52)</f>
        <v>85468.63</v>
      </c>
      <c r="I617" s="121" t="s">
        <v>900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1879.93</v>
      </c>
      <c r="H618" s="109">
        <f>SUM(G52)</f>
        <v>1879.93</v>
      </c>
      <c r="I618" s="121" t="s">
        <v>901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8264.4500000000007</v>
      </c>
      <c r="H619" s="109">
        <f>SUM(H52)</f>
        <v>8264.4500000000007</v>
      </c>
      <c r="I619" s="121" t="s">
        <v>902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903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0</v>
      </c>
      <c r="H621" s="109">
        <f>SUM(J52)</f>
        <v>0</v>
      </c>
      <c r="I621" s="121" t="s">
        <v>904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46542.8</v>
      </c>
      <c r="H622" s="109">
        <f>F476</f>
        <v>46542.800000000047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0</v>
      </c>
      <c r="H626" s="109">
        <f>J476</f>
        <v>0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1743735.24</v>
      </c>
      <c r="H627" s="104">
        <f>SUM(F468)</f>
        <v>1743735.24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50685.57</v>
      </c>
      <c r="H628" s="104">
        <f>SUM(G468)</f>
        <v>50685.57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42997.2</v>
      </c>
      <c r="H629" s="104">
        <f>SUM(H468)</f>
        <v>42997.2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25000</v>
      </c>
      <c r="H631" s="104">
        <f>SUM(J468)</f>
        <v>25000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1828093.2</v>
      </c>
      <c r="H632" s="104">
        <f>SUM(F472)</f>
        <v>1828093.2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42997.2</v>
      </c>
      <c r="H633" s="104">
        <f>SUM(H472)</f>
        <v>42997.2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577.13</v>
      </c>
      <c r="H634" s="104">
        <f>I369</f>
        <v>577.13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50685.569999999992</v>
      </c>
      <c r="H635" s="104">
        <f>SUM(G472)</f>
        <v>50685.57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25000</v>
      </c>
      <c r="H637" s="164">
        <f>SUM(J468)</f>
        <v>25000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25000</v>
      </c>
      <c r="H638" s="164">
        <f>SUM(J472)</f>
        <v>25000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0</v>
      </c>
      <c r="H640" s="104">
        <f>SUM(G461)</f>
        <v>0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0</v>
      </c>
      <c r="H642" s="104">
        <f>SUM(I461)</f>
        <v>0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0</v>
      </c>
      <c r="H644" s="104">
        <f>H408</f>
        <v>0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25000</v>
      </c>
      <c r="H645" s="104">
        <f>G408</f>
        <v>25000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25000</v>
      </c>
      <c r="H646" s="104">
        <f>L408</f>
        <v>25000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58164.71</v>
      </c>
      <c r="H647" s="104">
        <f>L208+L226+L244</f>
        <v>58164.710000000006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11596.05</v>
      </c>
      <c r="H648" s="104">
        <f>(J257+J338)-(J255+J336)</f>
        <v>11596.05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38452.33</v>
      </c>
      <c r="H649" s="104">
        <f>H598</f>
        <v>38452.33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19712.38</v>
      </c>
      <c r="H651" s="104">
        <f>J598</f>
        <v>19712.38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23358.55</v>
      </c>
      <c r="H652" s="104">
        <f>K263+K345</f>
        <v>23358.55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25000</v>
      </c>
      <c r="H655" s="104">
        <f>K266+K347</f>
        <v>25000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1377253.03</v>
      </c>
      <c r="G660" s="19">
        <f>(L229+L309+L359)</f>
        <v>0</v>
      </c>
      <c r="H660" s="19">
        <f>(L247+L328+L360)</f>
        <v>496164.39</v>
      </c>
      <c r="I660" s="19">
        <f>SUM(F660:H660)</f>
        <v>1873417.42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14786.6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14786.6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38452.33</v>
      </c>
      <c r="G662" s="19">
        <f>(L226+L306)-(J226+J306)</f>
        <v>0</v>
      </c>
      <c r="H662" s="19">
        <f>(L244+L325)-(J244+J325)</f>
        <v>19712.38</v>
      </c>
      <c r="I662" s="19">
        <f>SUM(F662:H662)</f>
        <v>58164.710000000006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32759.05</v>
      </c>
      <c r="G663" s="199">
        <f>SUM(G575:G587)+SUM(I602:I604)+L612</f>
        <v>0</v>
      </c>
      <c r="H663" s="199">
        <f>SUM(H575:H587)+SUM(J602:J604)+L613</f>
        <v>430471.7</v>
      </c>
      <c r="I663" s="19">
        <f>SUM(F663:H663)</f>
        <v>463230.75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1291255.05</v>
      </c>
      <c r="G664" s="19">
        <f>G660-SUM(G661:G663)</f>
        <v>0</v>
      </c>
      <c r="H664" s="19">
        <f>H660-SUM(H661:H663)</f>
        <v>45980.31</v>
      </c>
      <c r="I664" s="19">
        <f>I660-SUM(I661:I663)</f>
        <v>1337235.3599999999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70.260000000000005</v>
      </c>
      <c r="G665" s="248"/>
      <c r="H665" s="248"/>
      <c r="I665" s="19">
        <f>SUM(F665:H665)</f>
        <v>70.260000000000005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18378.240000000002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19032.669999999998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>
        <v>-45980.31</v>
      </c>
      <c r="I669" s="19">
        <f>SUM(F669:H669)</f>
        <v>-45980.31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18378.240000000002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18378.240000000002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2013-2014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topLeftCell="A12" workbookViewId="0">
      <selection activeCell="C40" sqref="C4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Piermont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2013-2014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390340.72</v>
      </c>
      <c r="C9" s="229">
        <f>'DOE25'!G197+'DOE25'!G215+'DOE25'!G233+'DOE25'!G276+'DOE25'!G295+'DOE25'!G314</f>
        <v>136851.84</v>
      </c>
    </row>
    <row r="10" spans="1:3" x14ac:dyDescent="0.2">
      <c r="A10" t="s">
        <v>779</v>
      </c>
      <c r="B10" s="240">
        <v>365721.87</v>
      </c>
      <c r="C10" s="240">
        <v>124121.27</v>
      </c>
    </row>
    <row r="11" spans="1:3" x14ac:dyDescent="0.2">
      <c r="A11" t="s">
        <v>780</v>
      </c>
      <c r="B11" s="240">
        <v>20696.099999999999</v>
      </c>
      <c r="C11" s="240">
        <v>12430.44</v>
      </c>
    </row>
    <row r="12" spans="1:3" x14ac:dyDescent="0.2">
      <c r="A12" t="s">
        <v>781</v>
      </c>
      <c r="B12" s="240">
        <v>3922.75</v>
      </c>
      <c r="C12" s="240">
        <v>300.13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390340.72</v>
      </c>
      <c r="C13" s="231">
        <f>SUM(C10:C12)</f>
        <v>136851.84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114960.84</v>
      </c>
      <c r="C18" s="229">
        <f>'DOE25'!G198+'DOE25'!G216+'DOE25'!G234+'DOE25'!G277+'DOE25'!G296+'DOE25'!G315</f>
        <v>43455.12</v>
      </c>
    </row>
    <row r="19" spans="1:3" x14ac:dyDescent="0.2">
      <c r="A19" t="s">
        <v>779</v>
      </c>
      <c r="B19" s="240">
        <v>61781.599999999999</v>
      </c>
      <c r="C19" s="240">
        <v>25757.91</v>
      </c>
    </row>
    <row r="20" spans="1:3" x14ac:dyDescent="0.2">
      <c r="A20" t="s">
        <v>780</v>
      </c>
      <c r="B20" s="240">
        <v>46762.81</v>
      </c>
      <c r="C20" s="240">
        <v>17206.32</v>
      </c>
    </row>
    <row r="21" spans="1:3" x14ac:dyDescent="0.2">
      <c r="A21" t="s">
        <v>781</v>
      </c>
      <c r="B21" s="240">
        <v>6416.43</v>
      </c>
      <c r="C21" s="240">
        <v>490.89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114960.84</v>
      </c>
      <c r="C22" s="231">
        <f>SUM(C19:C21)</f>
        <v>43455.119999999995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8891.5</v>
      </c>
      <c r="C36" s="235">
        <f>'DOE25'!G200+'DOE25'!G218+'DOE25'!G236+'DOE25'!G279+'DOE25'!G298+'DOE25'!G317</f>
        <v>1616.1200000000001</v>
      </c>
    </row>
    <row r="37" spans="1:3" x14ac:dyDescent="0.2">
      <c r="A37" t="s">
        <v>779</v>
      </c>
      <c r="B37" s="240">
        <v>4077</v>
      </c>
      <c r="C37" s="240">
        <v>1164.7</v>
      </c>
    </row>
    <row r="38" spans="1:3" x14ac:dyDescent="0.2">
      <c r="A38" t="s">
        <v>780</v>
      </c>
      <c r="B38" s="240">
        <v>2014.5</v>
      </c>
      <c r="C38" s="240">
        <v>371.09</v>
      </c>
    </row>
    <row r="39" spans="1:3" x14ac:dyDescent="0.2">
      <c r="A39" t="s">
        <v>781</v>
      </c>
      <c r="B39" s="240">
        <f>1750+1050</f>
        <v>2800</v>
      </c>
      <c r="C39" s="240">
        <v>80.33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8891.5</v>
      </c>
      <c r="C40" s="231">
        <f>SUM(C37:C39)</f>
        <v>1616.12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35" sqref="D35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Piermont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1163741.32</v>
      </c>
      <c r="D5" s="20">
        <f>SUM('DOE25'!L197:L200)+SUM('DOE25'!L215:L218)+SUM('DOE25'!L233:L236)-F5-G5</f>
        <v>1161930.4200000002</v>
      </c>
      <c r="E5" s="243"/>
      <c r="F5" s="255">
        <f>SUM('DOE25'!J197:J200)+SUM('DOE25'!J215:J218)+SUM('DOE25'!J233:J236)</f>
        <v>0</v>
      </c>
      <c r="G5" s="53">
        <f>SUM('DOE25'!K197:K200)+SUM('DOE25'!K215:K218)+SUM('DOE25'!K233:K236)</f>
        <v>1810.9</v>
      </c>
      <c r="H5" s="259"/>
    </row>
    <row r="6" spans="1:9" x14ac:dyDescent="0.2">
      <c r="A6" s="32">
        <v>2100</v>
      </c>
      <c r="B6" t="s">
        <v>801</v>
      </c>
      <c r="C6" s="245">
        <f t="shared" si="0"/>
        <v>69152.67</v>
      </c>
      <c r="D6" s="20">
        <f>'DOE25'!L202+'DOE25'!L220+'DOE25'!L238-F6-G6</f>
        <v>67973.42</v>
      </c>
      <c r="E6" s="243"/>
      <c r="F6" s="255">
        <f>'DOE25'!J202+'DOE25'!J220+'DOE25'!J238</f>
        <v>0</v>
      </c>
      <c r="G6" s="53">
        <f>'DOE25'!K202+'DOE25'!K220+'DOE25'!K238</f>
        <v>1179.25</v>
      </c>
      <c r="H6" s="259"/>
    </row>
    <row r="7" spans="1:9" x14ac:dyDescent="0.2">
      <c r="A7" s="32">
        <v>2200</v>
      </c>
      <c r="B7" t="s">
        <v>834</v>
      </c>
      <c r="C7" s="245">
        <f t="shared" si="0"/>
        <v>95695.909999999989</v>
      </c>
      <c r="D7" s="20">
        <f>'DOE25'!L203+'DOE25'!L221+'DOE25'!L239-F7-G7</f>
        <v>95623.909999999989</v>
      </c>
      <c r="E7" s="243"/>
      <c r="F7" s="255">
        <f>'DOE25'!J203+'DOE25'!J221+'DOE25'!J239</f>
        <v>0</v>
      </c>
      <c r="G7" s="53">
        <f>'DOE25'!K203+'DOE25'!K221+'DOE25'!K239</f>
        <v>72</v>
      </c>
      <c r="H7" s="259"/>
    </row>
    <row r="8" spans="1:9" x14ac:dyDescent="0.2">
      <c r="A8" s="32">
        <v>2300</v>
      </c>
      <c r="B8" t="s">
        <v>802</v>
      </c>
      <c r="C8" s="245">
        <f t="shared" si="0"/>
        <v>92439</v>
      </c>
      <c r="D8" s="243"/>
      <c r="E8" s="20">
        <f>'DOE25'!L204+'DOE25'!L222+'DOE25'!L240-F8-G8-D9-D11</f>
        <v>90127.88</v>
      </c>
      <c r="F8" s="255">
        <f>'DOE25'!J204+'DOE25'!J222+'DOE25'!J240</f>
        <v>0</v>
      </c>
      <c r="G8" s="53">
        <f>'DOE25'!K204+'DOE25'!K222+'DOE25'!K240</f>
        <v>2311.12</v>
      </c>
      <c r="H8" s="259"/>
    </row>
    <row r="9" spans="1:9" x14ac:dyDescent="0.2">
      <c r="A9" s="32">
        <v>2310</v>
      </c>
      <c r="B9" t="s">
        <v>818</v>
      </c>
      <c r="C9" s="245">
        <f t="shared" si="0"/>
        <v>7224.72</v>
      </c>
      <c r="D9" s="244">
        <v>7224.72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7000</v>
      </c>
      <c r="D10" s="243"/>
      <c r="E10" s="244">
        <v>7000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5137.04</v>
      </c>
      <c r="D11" s="244">
        <f>710.52+1390.15+523.87+2512.5</f>
        <v>5137.04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110076.43</v>
      </c>
      <c r="D12" s="20">
        <f>'DOE25'!L205+'DOE25'!L223+'DOE25'!L241-F12-G12</f>
        <v>109367.43999999999</v>
      </c>
      <c r="E12" s="243"/>
      <c r="F12" s="255">
        <f>'DOE25'!J205+'DOE25'!J223+'DOE25'!J241</f>
        <v>59.99</v>
      </c>
      <c r="G12" s="53">
        <f>'DOE25'!K205+'DOE25'!K223+'DOE25'!K241</f>
        <v>649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175686.67</v>
      </c>
      <c r="D14" s="20">
        <f>'DOE25'!L207+'DOE25'!L225+'DOE25'!L243-F14-G14</f>
        <v>164000.61000000002</v>
      </c>
      <c r="E14" s="243"/>
      <c r="F14" s="255">
        <f>'DOE25'!J207+'DOE25'!J225+'DOE25'!J243</f>
        <v>11536.06</v>
      </c>
      <c r="G14" s="53">
        <f>'DOE25'!K207+'DOE25'!K225+'DOE25'!K243</f>
        <v>150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58164.710000000006</v>
      </c>
      <c r="D15" s="20">
        <f>'DOE25'!L208+'DOE25'!L226+'DOE25'!L244-F15-G15</f>
        <v>58164.710000000006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2416.1799999999998</v>
      </c>
      <c r="D16" s="243"/>
      <c r="E16" s="20">
        <f>'DOE25'!L209+'DOE25'!L227+'DOE25'!L245-F16-G16</f>
        <v>2416.1799999999998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50685.569999999992</v>
      </c>
      <c r="D29" s="20">
        <f>'DOE25'!L358+'DOE25'!L359+'DOE25'!L360-'DOE25'!I367-F29-G29</f>
        <v>50685.569999999992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42997.2</v>
      </c>
      <c r="D31" s="20">
        <f>'DOE25'!L290+'DOE25'!L309+'DOE25'!L328+'DOE25'!L333+'DOE25'!L334+'DOE25'!L335-F31-G31</f>
        <v>42562.2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435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1762670.04</v>
      </c>
      <c r="E33" s="246">
        <f>SUM(E5:E31)</f>
        <v>99544.06</v>
      </c>
      <c r="F33" s="246">
        <f>SUM(F5:F31)</f>
        <v>11596.05</v>
      </c>
      <c r="G33" s="246">
        <f>SUM(G5:G31)</f>
        <v>6607.27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99544.06</v>
      </c>
      <c r="E35" s="249"/>
    </row>
    <row r="36" spans="2:8" ht="12" thickTop="1" x14ac:dyDescent="0.2">
      <c r="B36" t="s">
        <v>815</v>
      </c>
      <c r="D36" s="20">
        <f>D33</f>
        <v>1762670.04</v>
      </c>
    </row>
    <row r="38" spans="2:8" x14ac:dyDescent="0.2">
      <c r="B38" s="187" t="s">
        <v>895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M23" sqref="M23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Piermont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32217.56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47013.09</v>
      </c>
      <c r="D12" s="95">
        <f>'DOE25'!G13</f>
        <v>1879.93</v>
      </c>
      <c r="E12" s="95">
        <f>'DOE25'!H13</f>
        <v>8264.4500000000007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5272.98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965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85468.62999999999</v>
      </c>
      <c r="D18" s="41">
        <f>SUM(D8:D17)</f>
        <v>1879.93</v>
      </c>
      <c r="E18" s="41">
        <f>SUM(E8:E17)</f>
        <v>8264.4500000000007</v>
      </c>
      <c r="F18" s="41">
        <f>SUM(F8:F17)</f>
        <v>0</v>
      </c>
      <c r="G18" s="41">
        <f>SUM(G8:G17)</f>
        <v>0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10144.379999999999</v>
      </c>
      <c r="D21" s="95">
        <f>'DOE25'!G22</f>
        <v>1879.93</v>
      </c>
      <c r="E21" s="95">
        <f>'DOE25'!H22</f>
        <v>8264.4500000000007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28499.52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281.93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38925.83</v>
      </c>
      <c r="D31" s="41">
        <f>SUM(D21:D30)</f>
        <v>1879.93</v>
      </c>
      <c r="E31" s="41">
        <f>SUM(E21:E30)</f>
        <v>8264.4500000000007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25000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905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906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0</v>
      </c>
      <c r="H47" s="124"/>
      <c r="I47" s="124"/>
    </row>
    <row r="48" spans="1:9" x14ac:dyDescent="0.2">
      <c r="A48" s="1" t="s">
        <v>907</v>
      </c>
      <c r="B48" s="6">
        <v>753</v>
      </c>
      <c r="C48" s="95">
        <f>'DOE25'!F49</f>
        <v>328.68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908</v>
      </c>
      <c r="B49" s="71">
        <v>770</v>
      </c>
      <c r="C49" s="95">
        <f>'DOE25'!F50</f>
        <v>21214.12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909</v>
      </c>
      <c r="B50" s="48"/>
      <c r="C50" s="41">
        <f>SUM(C34:C49)</f>
        <v>46542.8</v>
      </c>
      <c r="D50" s="41">
        <f>SUM(D34:D49)</f>
        <v>0</v>
      </c>
      <c r="E50" s="41">
        <f>SUM(E34:E49)</f>
        <v>0</v>
      </c>
      <c r="F50" s="41">
        <f>SUM(F34:F49)</f>
        <v>0</v>
      </c>
      <c r="G50" s="41">
        <f>SUM(G34:G49)</f>
        <v>0</v>
      </c>
      <c r="H50" s="124"/>
      <c r="I50" s="124"/>
    </row>
    <row r="51" spans="1:9" ht="12" thickTop="1" x14ac:dyDescent="0.2">
      <c r="A51" s="38" t="s">
        <v>910</v>
      </c>
      <c r="B51" s="2"/>
      <c r="C51" s="41">
        <f>C50+C31</f>
        <v>85468.63</v>
      </c>
      <c r="D51" s="41">
        <f>D50+D31</f>
        <v>1879.93</v>
      </c>
      <c r="E51" s="41">
        <f>E50+E31</f>
        <v>8264.4500000000007</v>
      </c>
      <c r="F51" s="41">
        <f>F50+F31</f>
        <v>0</v>
      </c>
      <c r="G51" s="41">
        <f>G50+G31</f>
        <v>0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1099751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16887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69.91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14663.6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2761.65</v>
      </c>
      <c r="D61" s="95">
        <f>SUM('DOE25'!G98:G110)</f>
        <v>123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19718.560000000001</v>
      </c>
      <c r="D62" s="130">
        <f>SUM(D57:D61)</f>
        <v>14786.6</v>
      </c>
      <c r="E62" s="130">
        <f>SUM(E57:E61)</f>
        <v>0</v>
      </c>
      <c r="F62" s="130">
        <f>SUM(F57:F61)</f>
        <v>0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1119469.56</v>
      </c>
      <c r="D63" s="22">
        <f>D56+D62</f>
        <v>14786.6</v>
      </c>
      <c r="E63" s="22">
        <f>E56+E62</f>
        <v>0</v>
      </c>
      <c r="F63" s="22">
        <f>F56+F62</f>
        <v>0</v>
      </c>
      <c r="G63" s="22">
        <f>G56+G62</f>
        <v>0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290425.52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235270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525695.52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1350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71722.47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452.03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73072.47</v>
      </c>
      <c r="D78" s="130">
        <f>SUM(D72:D77)</f>
        <v>452.03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598767.99</v>
      </c>
      <c r="D81" s="130">
        <f>SUM(D79:D80)+D78+D70</f>
        <v>452.03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10141.73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23810.560000000001</v>
      </c>
      <c r="D88" s="95">
        <f>SUM('DOE25'!G153:G161)</f>
        <v>12088.39</v>
      </c>
      <c r="E88" s="95">
        <f>SUM('DOE25'!H153:H161)</f>
        <v>32855.47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1687.13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25497.690000000002</v>
      </c>
      <c r="D91" s="131">
        <f>SUM(D85:D90)</f>
        <v>12088.39</v>
      </c>
      <c r="E91" s="131">
        <f>SUM(E85:E90)</f>
        <v>42997.2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23358.55</v>
      </c>
      <c r="E96" s="95">
        <f>'DOE25'!H179</f>
        <v>0</v>
      </c>
      <c r="F96" s="95">
        <f>'DOE25'!I179</f>
        <v>0</v>
      </c>
      <c r="G96" s="95">
        <f>'DOE25'!J179</f>
        <v>25000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23358.55</v>
      </c>
      <c r="E103" s="86">
        <f>SUM(E93:E102)</f>
        <v>0</v>
      </c>
      <c r="F103" s="86">
        <f>SUM(F93:F102)</f>
        <v>0</v>
      </c>
      <c r="G103" s="86">
        <f>SUM(G93:G102)</f>
        <v>25000</v>
      </c>
    </row>
    <row r="104" spans="1:7" ht="12.75" thickTop="1" thickBot="1" x14ac:dyDescent="0.25">
      <c r="A104" s="33" t="s">
        <v>765</v>
      </c>
      <c r="C104" s="86">
        <f>C63+C81+C91+C103</f>
        <v>1743735.24</v>
      </c>
      <c r="D104" s="86">
        <f>D63+D81+D91+D103</f>
        <v>50685.57</v>
      </c>
      <c r="E104" s="86">
        <f>E63+E81+E91+E103</f>
        <v>42997.2</v>
      </c>
      <c r="F104" s="86">
        <f>F63+F81+F91+F103</f>
        <v>0</v>
      </c>
      <c r="G104" s="86">
        <f>G63+G81+G103</f>
        <v>25000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900163.62000000011</v>
      </c>
      <c r="D109" s="24" t="s">
        <v>289</v>
      </c>
      <c r="E109" s="95">
        <f>('DOE25'!L276)+('DOE25'!L295)+('DOE25'!L314)</f>
        <v>0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197547.04999999996</v>
      </c>
      <c r="D110" s="24" t="s">
        <v>289</v>
      </c>
      <c r="E110" s="95">
        <f>('DOE25'!L277)+('DOE25'!L296)+('DOE25'!L315)</f>
        <v>34970.5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53983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12047.650000000001</v>
      </c>
      <c r="D112" s="24" t="s">
        <v>289</v>
      </c>
      <c r="E112" s="95">
        <f>+('DOE25'!L279)+('DOE25'!L298)+('DOE25'!L317)</f>
        <v>2131.6799999999998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1163741.32</v>
      </c>
      <c r="D115" s="86">
        <f>SUM(D109:D114)</f>
        <v>0</v>
      </c>
      <c r="E115" s="86">
        <f>SUM(E109:E114)</f>
        <v>37102.18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69152.67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95695.909999999989</v>
      </c>
      <c r="D119" s="24" t="s">
        <v>289</v>
      </c>
      <c r="E119" s="95">
        <f>+('DOE25'!L282)+('DOE25'!L301)+('DOE25'!L320)</f>
        <v>5460.0199999999995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104800.76</v>
      </c>
      <c r="D120" s="24" t="s">
        <v>289</v>
      </c>
      <c r="E120" s="95">
        <f>+('DOE25'!L283)+('DOE25'!L302)+('DOE25'!L321)</f>
        <v>435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110076.43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175686.67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58164.710000000006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2416.1799999999998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50685.569999999992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615993.32999999996</v>
      </c>
      <c r="D128" s="86">
        <f>SUM(D118:D127)</f>
        <v>50685.569999999992</v>
      </c>
      <c r="E128" s="86">
        <f>SUM(E118:E127)</f>
        <v>5895.0199999999995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23358.55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25000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0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48358.55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1828093.2</v>
      </c>
      <c r="D145" s="86">
        <f>(D115+D128+D144)</f>
        <v>50685.569999999992</v>
      </c>
      <c r="E145" s="86">
        <f>(E115+E128+E144)</f>
        <v>42997.2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2013-2014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Piermont</v>
      </c>
    </row>
    <row r="3" spans="1:4" x14ac:dyDescent="0.2">
      <c r="B3" s="188" t="s">
        <v>896</v>
      </c>
    </row>
    <row r="4" spans="1:4" x14ac:dyDescent="0.2">
      <c r="B4" t="s">
        <v>61</v>
      </c>
      <c r="C4" s="179">
        <f>IF('DOE25'!F665+'DOE25'!F670=0,0,ROUND('DOE25'!F672,0))</f>
        <v>18378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18378</v>
      </c>
    </row>
    <row r="9" spans="1:4" x14ac:dyDescent="0.2">
      <c r="A9" s="187" t="s">
        <v>94</v>
      </c>
      <c r="B9" s="188" t="s">
        <v>897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900164</v>
      </c>
      <c r="D10" s="182">
        <f>ROUND((C10/$C$28)*100,1)</f>
        <v>48.4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232518</v>
      </c>
      <c r="D11" s="182">
        <f>ROUND((C11/$C$28)*100,1)</f>
        <v>12.5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53983</v>
      </c>
      <c r="D12" s="182">
        <f>ROUND((C12/$C$28)*100,1)</f>
        <v>2.9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14179</v>
      </c>
      <c r="D13" s="182">
        <f>ROUND((C13/$C$28)*100,1)</f>
        <v>0.8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69153</v>
      </c>
      <c r="D15" s="182">
        <f t="shared" ref="D15:D27" si="0">ROUND((C15/$C$28)*100,1)</f>
        <v>3.7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101156</v>
      </c>
      <c r="D16" s="182">
        <f t="shared" si="0"/>
        <v>5.4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107652</v>
      </c>
      <c r="D17" s="182">
        <f t="shared" si="0"/>
        <v>5.8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110076</v>
      </c>
      <c r="D18" s="182">
        <f t="shared" si="0"/>
        <v>5.9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175687</v>
      </c>
      <c r="D20" s="182">
        <f t="shared" si="0"/>
        <v>9.5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58165</v>
      </c>
      <c r="D21" s="182">
        <f t="shared" si="0"/>
        <v>3.1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35899.4</v>
      </c>
      <c r="D27" s="182">
        <f t="shared" si="0"/>
        <v>1.9</v>
      </c>
    </row>
    <row r="28" spans="1:4" x14ac:dyDescent="0.2">
      <c r="B28" s="187" t="s">
        <v>723</v>
      </c>
      <c r="C28" s="180">
        <f>SUM(C10:C27)</f>
        <v>1858632.4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1858632.4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898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1099751</v>
      </c>
      <c r="D35" s="182">
        <f t="shared" ref="D35:D40" si="1">ROUND((C35/$C$41)*100,1)</f>
        <v>61.1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19718.560000000056</v>
      </c>
      <c r="D36" s="182">
        <f t="shared" si="1"/>
        <v>1.1000000000000001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525696</v>
      </c>
      <c r="D37" s="182">
        <f t="shared" si="1"/>
        <v>29.2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73525</v>
      </c>
      <c r="D38" s="182">
        <f t="shared" si="1"/>
        <v>4.0999999999999996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80583</v>
      </c>
      <c r="D39" s="182">
        <f t="shared" si="1"/>
        <v>4.5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1799273.56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767</v>
      </c>
      <c r="B2" s="294"/>
      <c r="C2" s="294"/>
      <c r="D2" s="294"/>
      <c r="E2" s="294"/>
      <c r="F2" s="291" t="str">
        <f>'DOE25'!A2</f>
        <v>Piermont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848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7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2014-10-24T13:19:04Z</cp:lastPrinted>
  <dcterms:created xsi:type="dcterms:W3CDTF">1997-12-04T19:04:30Z</dcterms:created>
  <dcterms:modified xsi:type="dcterms:W3CDTF">2014-10-30T17:36:18Z</dcterms:modified>
</cp:coreProperties>
</file>