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9" i="12" l="1"/>
  <c r="B39" i="12"/>
  <c r="C37" i="12"/>
  <c r="B19" i="12"/>
  <c r="G234" i="1"/>
  <c r="F234" i="1"/>
  <c r="C19" i="12"/>
  <c r="C10" i="12"/>
  <c r="B10" i="12"/>
  <c r="E10" i="13"/>
  <c r="I244" i="1"/>
  <c r="H244" i="1"/>
  <c r="I208" i="1"/>
  <c r="I233" i="1"/>
  <c r="H396" i="1"/>
  <c r="H155" i="1"/>
  <c r="J468" i="1"/>
  <c r="G459" i="1"/>
  <c r="G439" i="1"/>
  <c r="H400" i="1"/>
  <c r="F50" i="1"/>
  <c r="H604" i="1"/>
  <c r="J604" i="1"/>
  <c r="H526" i="1"/>
  <c r="G526" i="1" l="1"/>
  <c r="F526" i="1"/>
  <c r="G521" i="1"/>
  <c r="F521" i="1"/>
  <c r="F499" i="1"/>
  <c r="I241" i="1" l="1"/>
  <c r="G244" i="1"/>
  <c r="G239" i="1"/>
  <c r="I360" i="1"/>
  <c r="G320" i="1"/>
  <c r="K244" i="1"/>
  <c r="F244" i="1"/>
  <c r="I243" i="1"/>
  <c r="H243" i="1"/>
  <c r="G243" i="1"/>
  <c r="F243" i="1"/>
  <c r="H241" i="1"/>
  <c r="G241" i="1"/>
  <c r="F241" i="1"/>
  <c r="H240" i="1"/>
  <c r="G240" i="1"/>
  <c r="K239" i="1"/>
  <c r="F239" i="1"/>
  <c r="K238" i="1"/>
  <c r="I238" i="1"/>
  <c r="H238" i="1"/>
  <c r="G238" i="1"/>
  <c r="F238" i="1"/>
  <c r="K236" i="1"/>
  <c r="I236" i="1"/>
  <c r="H236" i="1"/>
  <c r="G236" i="1"/>
  <c r="F236" i="1"/>
  <c r="H233" i="1"/>
  <c r="G233" i="1"/>
  <c r="F233" i="1"/>
  <c r="G197" i="1"/>
  <c r="G203" i="1"/>
  <c r="H358" i="1"/>
  <c r="K281" i="1"/>
  <c r="K282" i="1"/>
  <c r="H282" i="1"/>
  <c r="G282" i="1"/>
  <c r="F282" i="1"/>
  <c r="K285" i="1"/>
  <c r="G277" i="1"/>
  <c r="G208" i="1"/>
  <c r="F208" i="1"/>
  <c r="H208" i="1"/>
  <c r="I207" i="1"/>
  <c r="H207" i="1"/>
  <c r="G207" i="1"/>
  <c r="F207" i="1"/>
  <c r="G205" i="1"/>
  <c r="I205" i="1"/>
  <c r="H205" i="1"/>
  <c r="F205" i="1"/>
  <c r="G204" i="1"/>
  <c r="F204" i="1"/>
  <c r="H204" i="1"/>
  <c r="K203" i="1"/>
  <c r="H203" i="1"/>
  <c r="F203" i="1"/>
  <c r="K202" i="1"/>
  <c r="I202" i="1"/>
  <c r="H202" i="1"/>
  <c r="G202" i="1"/>
  <c r="F202" i="1"/>
  <c r="K200" i="1"/>
  <c r="G200" i="1"/>
  <c r="F200" i="1"/>
  <c r="G198" i="1"/>
  <c r="F198" i="1"/>
  <c r="I197" i="1"/>
  <c r="H197" i="1"/>
  <c r="F197" i="1"/>
  <c r="H145" i="1"/>
  <c r="H154" i="1"/>
  <c r="H22" i="1"/>
  <c r="G40" i="1"/>
  <c r="F2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C15" i="10" s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9" i="10"/>
  <c r="L250" i="1"/>
  <c r="L332" i="1"/>
  <c r="L254" i="1"/>
  <c r="L268" i="1"/>
  <c r="L269" i="1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E31" i="2" s="1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C121" i="2"/>
  <c r="E121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I408" i="1" s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G645" i="1"/>
  <c r="G649" i="1"/>
  <c r="G650" i="1"/>
  <c r="G652" i="1"/>
  <c r="H652" i="1"/>
  <c r="G653" i="1"/>
  <c r="H653" i="1"/>
  <c r="G654" i="1"/>
  <c r="H654" i="1"/>
  <c r="H655" i="1"/>
  <c r="J655" i="1" s="1"/>
  <c r="F192" i="1"/>
  <c r="L256" i="1"/>
  <c r="G164" i="2"/>
  <c r="C18" i="2"/>
  <c r="C26" i="10"/>
  <c r="L328" i="1"/>
  <c r="L351" i="1"/>
  <c r="L290" i="1"/>
  <c r="A31" i="12"/>
  <c r="C70" i="2"/>
  <c r="D12" i="13"/>
  <c r="C12" i="13" s="1"/>
  <c r="D62" i="2"/>
  <c r="D63" i="2" s="1"/>
  <c r="D18" i="13"/>
  <c r="C18" i="13" s="1"/>
  <c r="D18" i="2"/>
  <c r="D17" i="13"/>
  <c r="C17" i="13" s="1"/>
  <c r="E8" i="13"/>
  <c r="C8" i="13" s="1"/>
  <c r="F78" i="2"/>
  <c r="F81" i="2" s="1"/>
  <c r="D31" i="2"/>
  <c r="C78" i="2"/>
  <c r="D50" i="2"/>
  <c r="G157" i="2"/>
  <c r="F18" i="2"/>
  <c r="G161" i="2"/>
  <c r="G156" i="2"/>
  <c r="E103" i="2"/>
  <c r="D29" i="13"/>
  <c r="C29" i="13" s="1"/>
  <c r="D19" i="13"/>
  <c r="C19" i="13" s="1"/>
  <c r="E13" i="13"/>
  <c r="C13" i="13" s="1"/>
  <c r="E78" i="2"/>
  <c r="E81" i="2" s="1"/>
  <c r="L427" i="1"/>
  <c r="H112" i="1"/>
  <c r="J641" i="1"/>
  <c r="J639" i="1"/>
  <c r="J571" i="1"/>
  <c r="K571" i="1"/>
  <c r="L433" i="1"/>
  <c r="L419" i="1"/>
  <c r="D81" i="2"/>
  <c r="I169" i="1"/>
  <c r="H169" i="1"/>
  <c r="J643" i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H552" i="1"/>
  <c r="C29" i="10"/>
  <c r="H140" i="1"/>
  <c r="L401" i="1"/>
  <c r="C139" i="2" s="1"/>
  <c r="L393" i="1"/>
  <c r="F22" i="13"/>
  <c r="H571" i="1"/>
  <c r="L560" i="1"/>
  <c r="J545" i="1"/>
  <c r="H338" i="1"/>
  <c r="H352" i="1" s="1"/>
  <c r="F338" i="1"/>
  <c r="F352" i="1" s="1"/>
  <c r="G192" i="1"/>
  <c r="H192" i="1"/>
  <c r="C35" i="10"/>
  <c r="L309" i="1"/>
  <c r="E16" i="13"/>
  <c r="C16" i="13" s="1"/>
  <c r="L570" i="1"/>
  <c r="I571" i="1"/>
  <c r="I545" i="1"/>
  <c r="J636" i="1"/>
  <c r="G36" i="2"/>
  <c r="L565" i="1"/>
  <c r="K551" i="1"/>
  <c r="C22" i="13"/>
  <c r="C138" i="2"/>
  <c r="A13" i="12" l="1"/>
  <c r="D15" i="13"/>
  <c r="C15" i="13" s="1"/>
  <c r="C124" i="2"/>
  <c r="G62" i="2"/>
  <c r="G63" i="2" s="1"/>
  <c r="J644" i="1"/>
  <c r="J645" i="1"/>
  <c r="G476" i="1"/>
  <c r="H623" i="1" s="1"/>
  <c r="J623" i="1" s="1"/>
  <c r="K598" i="1"/>
  <c r="G647" i="1" s="1"/>
  <c r="J647" i="1" s="1"/>
  <c r="J649" i="1"/>
  <c r="H545" i="1"/>
  <c r="G545" i="1"/>
  <c r="K549" i="1"/>
  <c r="K552" i="1" s="1"/>
  <c r="L524" i="1"/>
  <c r="L545" i="1" s="1"/>
  <c r="K503" i="1"/>
  <c r="J640" i="1"/>
  <c r="F476" i="1"/>
  <c r="H622" i="1" s="1"/>
  <c r="J622" i="1" s="1"/>
  <c r="J634" i="1"/>
  <c r="F661" i="1"/>
  <c r="G651" i="1"/>
  <c r="J651" i="1" s="1"/>
  <c r="H662" i="1"/>
  <c r="C21" i="10"/>
  <c r="C123" i="2"/>
  <c r="C18" i="10"/>
  <c r="C17" i="10"/>
  <c r="C118" i="2"/>
  <c r="J257" i="1"/>
  <c r="J271" i="1" s="1"/>
  <c r="K257" i="1"/>
  <c r="K271" i="1" s="1"/>
  <c r="C13" i="10"/>
  <c r="C11" i="10"/>
  <c r="I257" i="1"/>
  <c r="I271" i="1" s="1"/>
  <c r="H257" i="1"/>
  <c r="H271" i="1" s="1"/>
  <c r="F257" i="1"/>
  <c r="F271" i="1" s="1"/>
  <c r="C109" i="2"/>
  <c r="L247" i="1"/>
  <c r="H660" i="1" s="1"/>
  <c r="G257" i="1"/>
  <c r="G271" i="1" s="1"/>
  <c r="H661" i="1"/>
  <c r="G661" i="1"/>
  <c r="D127" i="2"/>
  <c r="D128" i="2" s="1"/>
  <c r="D145" i="2" s="1"/>
  <c r="L362" i="1"/>
  <c r="C27" i="10" s="1"/>
  <c r="E115" i="2"/>
  <c r="C16" i="10"/>
  <c r="E128" i="2"/>
  <c r="E145" i="2" s="1"/>
  <c r="C132" i="2"/>
  <c r="H25" i="13"/>
  <c r="C131" i="2"/>
  <c r="F662" i="1"/>
  <c r="D14" i="13"/>
  <c r="C14" i="13" s="1"/>
  <c r="C20" i="10"/>
  <c r="E33" i="13"/>
  <c r="D35" i="13" s="1"/>
  <c r="C120" i="2"/>
  <c r="D7" i="13"/>
  <c r="C7" i="13" s="1"/>
  <c r="D6" i="13"/>
  <c r="C6" i="13" s="1"/>
  <c r="D5" i="13"/>
  <c r="C5" i="13" s="1"/>
  <c r="C110" i="2"/>
  <c r="C10" i="10"/>
  <c r="L211" i="1"/>
  <c r="F660" i="1" s="1"/>
  <c r="C81" i="2"/>
  <c r="C62" i="2"/>
  <c r="C63" i="2" s="1"/>
  <c r="C104" i="2" s="1"/>
  <c r="H52" i="1"/>
  <c r="H619" i="1" s="1"/>
  <c r="J619" i="1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128" i="2" l="1"/>
  <c r="G104" i="2"/>
  <c r="H646" i="1"/>
  <c r="J646" i="1" s="1"/>
  <c r="I661" i="1"/>
  <c r="H664" i="1"/>
  <c r="H672" i="1" s="1"/>
  <c r="C6" i="10" s="1"/>
  <c r="I662" i="1"/>
  <c r="H648" i="1"/>
  <c r="J648" i="1" s="1"/>
  <c r="C115" i="2"/>
  <c r="G635" i="1"/>
  <c r="J635" i="1" s="1"/>
  <c r="G664" i="1"/>
  <c r="G667" i="1" s="1"/>
  <c r="D31" i="13"/>
  <c r="C31" i="13" s="1"/>
  <c r="C25" i="13"/>
  <c r="H33" i="13"/>
  <c r="C28" i="10"/>
  <c r="D16" i="10" s="1"/>
  <c r="L257" i="1"/>
  <c r="L271" i="1" s="1"/>
  <c r="G632" i="1" s="1"/>
  <c r="J632" i="1" s="1"/>
  <c r="F664" i="1"/>
  <c r="I660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67" i="1"/>
  <c r="I664" i="1"/>
  <c r="I672" i="1" s="1"/>
  <c r="C7" i="10" s="1"/>
  <c r="G672" i="1"/>
  <c r="C5" i="10" s="1"/>
  <c r="D33" i="13"/>
  <c r="D36" i="13" s="1"/>
  <c r="D12" i="10"/>
  <c r="D15" i="10"/>
  <c r="D27" i="10"/>
  <c r="D18" i="10"/>
  <c r="D19" i="10"/>
  <c r="D11" i="10"/>
  <c r="D22" i="10"/>
  <c r="D24" i="10"/>
  <c r="D10" i="10"/>
  <c r="D23" i="10"/>
  <c r="D17" i="10"/>
  <c r="C30" i="10"/>
  <c r="D20" i="10"/>
  <c r="D25" i="10"/>
  <c r="D13" i="10"/>
  <c r="D21" i="10"/>
  <c r="D26" i="10"/>
  <c r="F672" i="1"/>
  <c r="C4" i="10" s="1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<sst xmlns="http://schemas.openxmlformats.org/spreadsheetml/2006/main" count="3959" uniqueCount="917">
  <si>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</si>
  <si>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</si>
  <si>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</si>
  <si>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</si>
  <si>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</si>
  <si>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</si>
  <si>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</si>
  <si>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</si>
  <si>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</si>
  <si>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</si>
  <si>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</si>
  <si>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</si>
  <si>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</si>
  <si>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</si>
  <si>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</si>
  <si>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</si>
  <si>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</si>
  <si>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</si>
  <si>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</si>
  <si>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</si>
  <si>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</si>
  <si>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</si>
  <si>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</si>
  <si>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</si>
  <si>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</si>
  <si>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</si>
  <si>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</si>
  <si>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</si>
  <si>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</si>
  <si>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</si>
  <si>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</si>
  <si>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</si>
  <si>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</si>
  <si>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</si>
  <si>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</si>
  <si>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</si>
  <si>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</si>
  <si>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</si>
  <si>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</si>
  <si>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</si>
  <si>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</si>
  <si>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</si>
  <si>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</si>
  <si>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</si>
  <si>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</si>
  <si>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</si>
  <si>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</si>
  <si>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</si>
  <si>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</si>
  <si>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</si>
  <si>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</si>
  <si>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</si>
  <si>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</si>
  <si>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</si>
  <si>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</si>
  <si>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</si>
  <si>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</si>
  <si>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</si>
  <si>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</si>
  <si>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</si>
  <si>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</si>
  <si>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</si>
  <si>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</si>
  <si>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</si>
  <si>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</si>
  <si>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</si>
  <si>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</si>
  <si>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</si>
  <si>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</si>
  <si>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</si>
  <si>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</si>
  <si>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</si>
  <si>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</si>
  <si>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</si>
  <si>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</si>
  <si>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</si>
  <si>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</si>
  <si>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</si>
  <si>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</si>
  <si>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</si>
  <si>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</si>
  <si>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</si>
  <si>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</si>
  <si>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</si>
  <si>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</si>
  <si>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</si>
  <si>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</si>
  <si>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</si>
  <si>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</si>
  <si>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</si>
  <si>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</si>
  <si>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</si>
  <si>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</si>
  <si>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</si>
  <si>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</si>
  <si>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</si>
  <si>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</si>
  <si>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</si>
  <si>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</si>
  <si>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</si>
  <si>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</si>
  <si>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</si>
  <si>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</si>
  <si>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</si>
  <si>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</si>
  <si>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</si>
  <si>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</si>
  <si>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</si>
  <si>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</si>
  <si>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</si>
  <si>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</si>
  <si>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</si>
  <si>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</si>
  <si>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</si>
  <si>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</si>
  <si>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</si>
  <si>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</si>
  <si>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</si>
  <si>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</si>
  <si>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</si>
  <si>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</si>
  <si>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</si>
  <si>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</si>
  <si>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</si>
  <si>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</si>
  <si>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</si>
  <si>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</si>
  <si>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</si>
  <si>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</si>
  <si>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</si>
  <si>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</si>
  <si>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</si>
  <si>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</si>
  <si>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</si>
  <si>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</si>
  <si>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</si>
  <si>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</si>
  <si>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</si>
  <si>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</si>
  <si>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</si>
  <si>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</si>
  <si>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</si>
  <si>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</si>
  <si>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</si>
  <si>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</si>
  <si>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</si>
  <si>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</si>
  <si>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</si>
  <si>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</si>
  <si>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</si>
  <si>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</si>
  <si>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</si>
  <si>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</si>
  <si>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</si>
  <si>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</si>
  <si>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</si>
  <si>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</si>
  <si>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</si>
  <si>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</si>
  <si>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</si>
  <si>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</si>
  <si>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</si>
  <si>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</si>
  <si>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</si>
  <si>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</si>
  <si>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</si>
  <si>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</si>
  <si>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</si>
  <si>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</si>
  <si>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</si>
  <si>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</si>
  <si>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</si>
  <si>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</si>
  <si>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</si>
  <si>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</si>
  <si>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</si>
  <si>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</si>
  <si>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</si>
  <si>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</si>
  <si>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</si>
  <si>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</si>
  <si>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</si>
  <si>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</si>
  <si>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</si>
  <si>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</si>
  <si>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</si>
  <si>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</si>
  <si>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</si>
  <si>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</si>
  <si>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</si>
  <si>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</si>
  <si>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</si>
  <si>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</si>
  <si>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</si>
  <si>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</si>
  <si>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</si>
  <si>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</si>
  <si>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</si>
  <si>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</si>
  <si>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</si>
  <si>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</si>
  <si>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</si>
  <si>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</si>
  <si>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</si>
  <si>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</si>
  <si>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</si>
  <si>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</si>
  <si>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</si>
  <si>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</si>
  <si>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</si>
  <si>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</si>
  <si>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</si>
  <si>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</si>
  <si>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</si>
  <si>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</si>
  <si>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</si>
  <si>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</si>
  <si>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</si>
  <si>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</si>
  <si>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</si>
  <si>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</si>
  <si>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</si>
  <si>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</si>
  <si>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</si>
  <si>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</si>
  <si>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</si>
  <si>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</si>
  <si>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</si>
  <si>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</si>
  <si>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</si>
  <si>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</si>
  <si>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</si>
  <si>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</si>
  <si>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</si>
  <si>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</si>
  <si>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</si>
  <si>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</si>
  <si>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</si>
  <si>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</si>
  <si>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</si>
  <si>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</si>
  <si>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</si>
  <si>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</si>
  <si>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</si>
  <si>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</si>
  <si>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</si>
  <si>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</si>
  <si>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</si>
  <si>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</si>
  <si>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</si>
  <si>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</si>
  <si>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</si>
  <si>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</si>
  <si>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</si>
  <si>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</si>
  <si>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</si>
  <si>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</si>
  <si>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</si>
  <si>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</si>
  <si>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</si>
  <si>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</si>
  <si>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</si>
  <si>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</si>
  <si>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</si>
  <si>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</si>
  <si>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</si>
  <si>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</si>
  <si>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</si>
  <si>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</si>
  <si>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</si>
  <si>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</si>
  <si>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</si>
  <si>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</si>
  <si>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</si>
  <si>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</si>
  <si>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</si>
  <si>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</si>
  <si>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</si>
  <si>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</si>
  <si>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</si>
  <si>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</si>
  <si>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</si>
  <si>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</si>
  <si>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</si>
  <si>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</si>
  <si>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</si>
  <si>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</si>
  <si>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</si>
  <si>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</si>
  <si>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</si>
  <si>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</si>
  <si>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</si>
  <si>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</si>
  <si>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</si>
  <si>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</si>
  <si>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</si>
  <si>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</si>
  <si>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</si>
  <si>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</si>
  <si>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</si>
  <si>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</si>
  <si>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</si>
  <si>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</si>
  <si>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</si>
  <si>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</si>
  <si>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</si>
  <si>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</si>
  <si>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</si>
  <si>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</si>
  <si>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</si>
  <si>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</si>
  <si>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</si>
  <si>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</si>
  <si>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</si>
  <si>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</si>
  <si>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</si>
  <si>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</si>
  <si>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</si>
  <si>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</si>
  <si>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</si>
  <si>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</si>
  <si>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</si>
  <si>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</si>
  <si>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</si>
  <si>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</si>
  <si>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</si>
  <si>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</si>
  <si>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</si>
  <si>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</si>
  <si>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</si>
  <si>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</si>
  <si>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</si>
  <si>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</si>
  <si>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</si>
  <si>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</si>
  <si>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</si>
  <si>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</si>
  <si>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</si>
  <si>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</si>
  <si>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</si>
  <si>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</si>
  <si>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</si>
  <si>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</si>
  <si>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</si>
  <si>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</si>
  <si>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</si>
  <si>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</si>
  <si>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</si>
  <si>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</si>
  <si>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</si>
  <si>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</si>
  <si>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</si>
  <si>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</si>
  <si>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</si>
  <si>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</si>
  <si>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</si>
  <si>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</si>
  <si>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</si>
  <si>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</si>
  <si>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</si>
  <si>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</si>
  <si>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</si>
  <si>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</si>
  <si>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</si>
  <si>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</si>
  <si>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</si>
  <si>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</si>
  <si>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</si>
  <si>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</si>
  <si>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</si>
  <si>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</si>
  <si>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</si>
  <si>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</si>
  <si>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</si>
  <si>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</si>
  <si>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</si>
  <si>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</si>
  <si>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</si>
  <si>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</si>
  <si>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</si>
  <si>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</si>
  <si>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</si>
  <si>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</si>
  <si>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</si>
  <si>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</si>
  <si>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</si>
  <si>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</si>
  <si>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</si>
  <si>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</si>
  <si>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</si>
  <si>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</si>
  <si>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</si>
  <si>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</si>
  <si>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</si>
  <si>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</si>
  <si>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</si>
  <si>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</si>
  <si>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</si>
  <si>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</si>
  <si>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</si>
  <si>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</si>
  <si>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</si>
  <si>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</si>
  <si>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</si>
  <si>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</si>
  <si>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</si>
  <si>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</si>
  <si>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</si>
  <si>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</si>
  <si>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</si>
  <si>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</si>
  <si>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</si>
  <si>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</si>
  <si>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</si>
  <si>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</si>
  <si>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</si>
  <si>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</si>
  <si>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</si>
  <si>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</si>
  <si>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</si>
  <si>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</si>
  <si>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</si>
  <si>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</si>
  <si>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</si>
  <si>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</si>
  <si>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</si>
  <si>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</si>
  <si>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</si>
  <si>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</si>
  <si>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</si>
  <si>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</si>
  <si>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</si>
  <si>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</si>
  <si>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</si>
  <si>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</si>
  <si>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</si>
  <si>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</si>
  <si>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</si>
  <si>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</si>
  <si>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</si>
  <si>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</si>
  <si>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</si>
  <si>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</si>
  <si>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</si>
  <si>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</si>
  <si>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</si>
  <si>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</si>
  <si>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</si>
  <si>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</si>
  <si>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</si>
  <si>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</si>
  <si>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</si>
  <si>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</si>
  <si>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</si>
  <si>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</si>
  <si>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</si>
  <si>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</si>
  <si>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</si>
  <si>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</si>
  <si>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</si>
  <si>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</si>
  <si>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</si>
  <si>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</si>
  <si>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</si>
  <si>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</si>
  <si>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</si>
  <si>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</si>
  <si>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</si>
  <si>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</si>
  <si>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</si>
  <si>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</si>
  <si>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</si>
  <si>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</si>
  <si>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</si>
  <si>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</si>
  <si>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</si>
  <si>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</si>
  <si>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</si>
  <si>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</si>
  <si>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</si>
  <si>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</si>
  <si>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</si>
  <si>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</si>
  <si>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</si>
  <si>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</si>
  <si>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</si>
  <si>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</si>
  <si>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</si>
  <si>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</si>
  <si>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</si>
  <si>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</si>
  <si>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</si>
  <si>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</si>
  <si>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</si>
  <si>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</si>
  <si>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</si>
  <si>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</si>
  <si>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</si>
  <si>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</si>
  <si>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</si>
  <si>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</si>
  <si>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</si>
  <si>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</si>
  <si>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</si>
  <si>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</si>
  <si>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</si>
  <si>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</si>
  <si>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</si>
  <si>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</si>
  <si>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</si>
  <si>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</si>
  <si>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</si>
  <si>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</si>
  <si>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</si>
  <si>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</si>
  <si>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</si>
  <si>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</si>
  <si>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</si>
  <si>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</si>
  <si>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</si>
  <si>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</si>
  <si>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</si>
  <si>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</si>
  <si>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</si>
  <si>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</si>
  <si>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</si>
  <si>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</si>
  <si>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</si>
  <si>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</si>
  <si>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</si>
  <si>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</si>
  <si>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</si>
  <si>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</si>
  <si>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</si>
  <si>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</si>
  <si>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</si>
  <si>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</si>
  <si>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</si>
  <si>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</si>
  <si>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</si>
  <si>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</si>
  <si>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</si>
  <si>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</si>
  <si>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</si>
  <si>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</si>
  <si>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</si>
  <si>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</si>
  <si>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</si>
  <si>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</si>
  <si>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</si>
  <si>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</si>
  <si>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</si>
  <si>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</si>
  <si>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</si>
  <si>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</si>
  <si>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</si>
  <si>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</si>
  <si>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</si>
  <si>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</si>
  <si>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</si>
  <si>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</si>
  <si>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</si>
  <si>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</si>
  <si>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</si>
  <si>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</si>
  <si>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</si>
  <si>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</si>
  <si>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</si>
  <si>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</si>
  <si>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</si>
  <si>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</si>
  <si>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</si>
  <si>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</si>
  <si>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</si>
  <si>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</si>
  <si>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</si>
  <si>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</si>
  <si>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</si>
  <si>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</si>
  <si>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</si>
  <si>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</si>
  <si>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</si>
  <si>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</si>
  <si>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</si>
  <si>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</si>
  <si>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</si>
  <si>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</si>
  <si>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</si>
  <si>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</si>
  <si>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</si>
  <si>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</si>
  <si>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</si>
  <si>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</si>
  <si>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</si>
  <si>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</si>
  <si>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</si>
  <si>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</si>
  <si>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</si>
  <si>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</si>
  <si>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</si>
  <si>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</si>
  <si>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</si>
  <si>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</si>
  <si>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</si>
  <si>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</si>
  <si>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</si>
  <si>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</si>
  <si>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</si>
  <si>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</si>
  <si>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</si>
  <si>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</si>
  <si>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</si>
  <si>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</si>
  <si>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</si>
  <si>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</si>
  <si>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</si>
  <si>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</si>
  <si>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</si>
  <si>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</si>
  <si>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</si>
  <si>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</si>
  <si>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</si>
  <si>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</si>
  <si>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</si>
  <si>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</si>
  <si>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</si>
  <si>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</si>
  <si>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</si>
  <si>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</si>
  <si>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</si>
  <si>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</si>
  <si>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</si>
  <si>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</si>
  <si>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</si>
  <si>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</si>
  <si>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</si>
  <si>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</si>
  <si>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</si>
  <si>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</si>
  <si>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</si>
  <si>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</si>
  <si>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</si>
  <si>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</si>
  <si>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</si>
  <si>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</si>
  <si>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</si>
  <si>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</si>
  <si>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</si>
  <si>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</si>
  <si>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</si>
  <si>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</si>
  <si>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</si>
  <si>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</si>
  <si>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</si>
  <si>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</si>
  <si>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</si>
  <si>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</si>
  <si>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</si>
  <si>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</si>
  <si>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</si>
  <si>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</si>
  <si>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</si>
  <si>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</si>
  <si>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</si>
  <si>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</si>
  <si>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</si>
  <si>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</si>
  <si>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</si>
  <si>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</si>
  <si>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</si>
  <si>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</si>
  <si>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</si>
  <si>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</si>
  <si>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</si>
  <si>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</si>
  <si>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</si>
  <si>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</si>
  <si>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</si>
  <si>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</si>
  <si>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</si>
  <si>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</si>
  <si>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</si>
  <si>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</si>
  <si>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</si>
  <si>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</si>
  <si>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</si>
  <si>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</si>
  <si>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</si>
  <si>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</si>
  <si>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</si>
  <si>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</si>
  <si>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</si>
  <si>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</si>
  <si>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</si>
  <si>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</si>
  <si>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</si>
  <si>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</si>
  <si>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</si>
  <si>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</si>
  <si>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</si>
  <si>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</si>
  <si>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</si>
  <si>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</si>
  <si>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</si>
  <si>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</si>
  <si>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</si>
  <si>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</si>
  <si>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</si>
  <si>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</si>
  <si>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</si>
  <si>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</si>
  <si>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</si>
  <si>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</si>
  <si>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</si>
  <si>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</si>
  <si>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</si>
  <si>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</si>
  <si>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</si>
  <si>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</si>
  <si>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</si>
  <si>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</si>
  <si>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</si>
  <si>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</si>
  <si>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</si>
  <si>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</si>
  <si>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</si>
  <si>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</si>
  <si>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</si>
  <si>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</si>
  <si>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</si>
  <si>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</si>
  <si>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</si>
  <si>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</si>
  <si>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</si>
  <si>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</si>
  <si>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</si>
  <si>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</si>
  <si>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</si>
  <si>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</si>
  <si>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</si>
  <si>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</si>
  <si>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</si>
  <si>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</si>
  <si>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</si>
  <si>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</si>
  <si>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</si>
  <si>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</si>
  <si>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</si>
  <si>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</si>
  <si>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</si>
  <si>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</si>
  <si>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</si>
  <si>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</si>
  <si>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</si>
  <si>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</si>
  <si>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</si>
  <si>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</si>
  <si>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</si>
  <si>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</si>
  <si>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</si>
  <si>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</si>
  <si>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</si>
  <si>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</si>
  <si>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</si>
  <si>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</si>
  <si>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</si>
  <si>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</si>
  <si>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</si>
  <si>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</si>
  <si>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</si>
  <si>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</si>
  <si>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</si>
  <si>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</si>
  <si>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</si>
  <si>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</si>
  <si>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</si>
  <si>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</si>
  <si>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</si>
  <si>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</si>
  <si>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</si>
  <si>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</si>
  <si>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</si>
  <si>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</si>
  <si>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</si>
  <si>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</si>
  <si>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</si>
  <si>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</si>
  <si>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</si>
  <si>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</si>
  <si>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</si>
  <si>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</si>
  <si>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</si>
  <si>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</si>
  <si>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</si>
  <si>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</si>
  <si>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</si>
  <si>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</si>
  <si>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</si>
  <si>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</si>
  <si>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</si>
  <si>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</si>
  <si>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</si>
  <si>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</si>
  <si>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</si>
  <si>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</si>
  <si>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</si>
  <si>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</si>
  <si>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</si>
  <si>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</si>
  <si>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</si>
  <si>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</si>
  <si>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</si>
  <si>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</si>
  <si>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</si>
  <si>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</si>
  <si>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</si>
  <si>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</si>
  <si>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</si>
  <si>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</si>
  <si>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</si>
  <si>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</si>
  <si>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</si>
  <si>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</si>
  <si>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</si>
  <si>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</si>
  <si>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</si>
  <si>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</si>
  <si>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</si>
  <si>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</si>
  <si>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</si>
  <si>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</si>
  <si>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</si>
  <si>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</si>
  <si>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</si>
  <si>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</si>
  <si>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</si>
  <si>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</si>
  <si>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</si>
  <si>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</si>
  <si>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</si>
  <si>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</si>
  <si>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</si>
  <si>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</si>
  <si>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</si>
  <si>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</si>
  <si>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</si>
  <si>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</si>
  <si>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</si>
  <si>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</si>
  <si>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</si>
  <si>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</si>
  <si>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</si>
  <si>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</si>
  <si>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</si>
  <si>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</si>
  <si>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</si>
  <si>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</si>
  <si>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</si>
  <si>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</si>
  <si>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</si>
  <si>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</si>
  <si>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</si>
  <si>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</si>
  <si>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</si>
  <si>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</si>
  <si>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</si>
  <si>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</si>
  <si>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</si>
  <si>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</si>
  <si>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</si>
  <si>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</si>
  <si>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</si>
  <si>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</si>
  <si>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</si>
  <si>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</si>
  <si>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</si>
  <si>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</si>
  <si>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</si>
  <si>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</si>
  <si>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</si>
  <si>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</si>
  <si>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</si>
  <si>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</si>
  <si>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</si>
  <si>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</si>
  <si>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</si>
  <si>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</si>
  <si>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</si>
  <si>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</si>
  <si>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</si>
  <si>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</si>
  <si>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</si>
  <si>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</si>
  <si>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</si>
  <si>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</si>
  <si>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</si>
  <si>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</si>
  <si>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</si>
  <si>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</si>
  <si>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</si>
  <si>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</si>
  <si>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</si>
  <si>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</si>
  <si>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</si>
  <si>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</si>
  <si>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</si>
  <si>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</si>
  <si>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</si>
  <si>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</si>
  <si>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</si>
  <si>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</si>
  <si>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Pittsburg School District</t>
  </si>
  <si>
    <t>July 1999</t>
  </si>
  <si>
    <t>August 2014</t>
  </si>
  <si>
    <t>Health Trust refund  $ 36,766.06</t>
  </si>
  <si>
    <t>Primex  $ 10,979.11</t>
  </si>
  <si>
    <t>Health Trust  current year refund $ 12,316.09  less retirees reimbursed $ 3,859.20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</si>
</sst>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30" zoomScaleNormal="130" workbookViewId="0">
      <pane xSplit="5" ySplit="3" topLeftCell="F650" activePane="bottomRight" state="frozen"/>
      <selection pane="topRight" activeCell="F1" sqref="F1"/>
      <selection pane="bottomLeft" activeCell="A4" sqref="A4"/>
      <selection pane="bottomRight" activeCell="I665" sqref="I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437</v>
      </c>
      <c r="C2" s="21">
        <v>437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231846.7</v>
      </c>
      <c r="G9" s="18">
        <v>11494.99</v>
      </c>
      <c r="H9" s="18"/>
      <c r="I9" s="18"/>
      <c r="J9" s="67">
        <f>SUM(I439)</f>
        <v>538598.19999999995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42540.87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18765.25</v>
      </c>
      <c r="G13" s="18">
        <v>1382.21</v>
      </c>
      <c r="H13" s="18">
        <v>42940.87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38.25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1246.97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293152.82</v>
      </c>
      <c r="G19" s="41">
        <f>SUM(G9:G18)</f>
        <v>14162.42</v>
      </c>
      <c r="H19" s="41">
        <f>SUM(H9:H18)</f>
        <v>42940.87</v>
      </c>
      <c r="I19" s="41">
        <f>SUM(I9:I18)</f>
        <v>0</v>
      </c>
      <c r="J19" s="41">
        <f>SUM(J9:J18)</f>
        <v>538598.19999999995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42940.87-400</f>
        <v>42540.87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17195.98</v>
      </c>
      <c r="G24" s="18">
        <v>481.83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5633.72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420.01+538.45+446.02+8185.2</f>
        <v>9589.68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3271.73</v>
      </c>
      <c r="G30" s="18"/>
      <c r="H30" s="18">
        <v>400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35691.11</v>
      </c>
      <c r="G32" s="41">
        <f>SUM(G22:G31)</f>
        <v>481.83</v>
      </c>
      <c r="H32" s="41">
        <f>SUM(H22:H31)</f>
        <v>42940.87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1246.97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11289.18+56483.22-55338.78</f>
        <v>12433.619999999995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538598.19999999995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4000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227017.28+2760282.31-2729837.88-4000</f>
        <v>253461.70999999996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257461.70999999996</v>
      </c>
      <c r="G51" s="41">
        <f>SUM(G35:G50)</f>
        <v>13680.589999999995</v>
      </c>
      <c r="H51" s="41">
        <f>SUM(H35:H50)</f>
        <v>0</v>
      </c>
      <c r="I51" s="41">
        <f>SUM(I35:I50)</f>
        <v>0</v>
      </c>
      <c r="J51" s="41">
        <f>SUM(J35:J50)</f>
        <v>538598.19999999995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293152.81999999995</v>
      </c>
      <c r="G52" s="41">
        <f>G51+G32</f>
        <v>14162.419999999995</v>
      </c>
      <c r="H52" s="41">
        <f>H51+H32</f>
        <v>42940.87</v>
      </c>
      <c r="I52" s="41">
        <f>I51+I32</f>
        <v>0</v>
      </c>
      <c r="J52" s="41">
        <f>J51+J32</f>
        <v>538598.19999999995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1551935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1551935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4725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338483.22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343208.22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132.41999999999999</v>
      </c>
      <c r="G96" s="18"/>
      <c r="H96" s="18"/>
      <c r="I96" s="18"/>
      <c r="J96" s="18">
        <v>130.03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19282.98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31703.45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29524.87</v>
      </c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48123.199999999997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8612.1299999999992</v>
      </c>
      <c r="G110" s="18"/>
      <c r="H110" s="18">
        <v>2834.27</v>
      </c>
      <c r="I110" s="18"/>
      <c r="J110" s="18">
        <v>230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118096.07</v>
      </c>
      <c r="G111" s="41">
        <f>SUM(G96:G110)</f>
        <v>19282.98</v>
      </c>
      <c r="H111" s="41">
        <f>SUM(H96:H110)</f>
        <v>2834.27</v>
      </c>
      <c r="I111" s="41">
        <f>SUM(I96:I110)</f>
        <v>0</v>
      </c>
      <c r="J111" s="41">
        <f>SUM(J96:J110)</f>
        <v>360.03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2013239.29</v>
      </c>
      <c r="G112" s="41">
        <f>G60+G111</f>
        <v>19282.98</v>
      </c>
      <c r="H112" s="41">
        <f>H60+H79+H94+H111</f>
        <v>2834.27</v>
      </c>
      <c r="I112" s="41">
        <f>I60+I111</f>
        <v>0</v>
      </c>
      <c r="J112" s="41">
        <f>J60+J111</f>
        <v>360.03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35370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633411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668781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77417.919999999998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758.56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77417.919999999998</v>
      </c>
      <c r="G136" s="41">
        <f>SUM(G123:G135)</f>
        <v>758.56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746198.92</v>
      </c>
      <c r="G140" s="41">
        <f>G121+SUM(G136:G137)</f>
        <v>758.56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f>5206.79+12388</f>
        <v>17594.79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17594.79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7629+47798.09</f>
        <v>55427.09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100+6029.7+3048.07</f>
        <v>9177.77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25441.68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844.1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5133.84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844.1</v>
      </c>
      <c r="G162" s="41">
        <f>SUM(G150:G161)</f>
        <v>25441.68</v>
      </c>
      <c r="H162" s="41">
        <f>SUM(H150:H161)</f>
        <v>69738.7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844.1</v>
      </c>
      <c r="G169" s="41">
        <f>G147+G162+SUM(G163:G168)</f>
        <v>25441.68</v>
      </c>
      <c r="H169" s="41">
        <f>H147+H162+SUM(H163:H168)</f>
        <v>87333.489999999991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11000</v>
      </c>
      <c r="H179" s="18"/>
      <c r="I179" s="18"/>
      <c r="J179" s="18">
        <v>40000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11000</v>
      </c>
      <c r="H183" s="41">
        <f>SUM(H179:H182)</f>
        <v>0</v>
      </c>
      <c r="I183" s="41">
        <f>SUM(I179:I182)</f>
        <v>0</v>
      </c>
      <c r="J183" s="41">
        <f>SUM(J179:J182)</f>
        <v>40000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11000</v>
      </c>
      <c r="H192" s="41">
        <f>+H183+SUM(H188:H191)</f>
        <v>0</v>
      </c>
      <c r="I192" s="41">
        <f>I177+I183+SUM(I188:I191)</f>
        <v>0</v>
      </c>
      <c r="J192" s="41">
        <f>J183</f>
        <v>40000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2760282.31</v>
      </c>
      <c r="G193" s="47">
        <f>G112+G140+G169+G192</f>
        <v>56483.22</v>
      </c>
      <c r="H193" s="47">
        <f>H112+H140+H169+H192</f>
        <v>90167.76</v>
      </c>
      <c r="I193" s="47">
        <f>I112+I140+I169+I192</f>
        <v>0</v>
      </c>
      <c r="J193" s="47">
        <f>J112+J140+J192</f>
        <v>40360.03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495747.06+10221.12+9113.4</f>
        <v>515081.58</v>
      </c>
      <c r="G197" s="18">
        <f>164973.03+1043.8+38794.93+72118.63+11136.15+1043.5+252+15850+9000</f>
        <v>314212.04000000004</v>
      </c>
      <c r="H197" s="18">
        <f>10120.86+1286.06+1800+1216.7</f>
        <v>14423.62</v>
      </c>
      <c r="I197" s="18">
        <f>7053.41+2682.08+454.84</f>
        <v>10190.33</v>
      </c>
      <c r="J197" s="18"/>
      <c r="K197" s="18"/>
      <c r="L197" s="19">
        <f>SUM(F197:K197)</f>
        <v>853907.57000000007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42136.9+26666.08+2166.5+4000.1</f>
        <v>74969.580000000016</v>
      </c>
      <c r="G198" s="18">
        <f>17005.48+5168.43+6273.26+189+126+4390.07+306.02+566.28+160+126</f>
        <v>34310.539999999994</v>
      </c>
      <c r="H198" s="18">
        <v>391.56</v>
      </c>
      <c r="I198" s="18">
        <v>495.28</v>
      </c>
      <c r="J198" s="18"/>
      <c r="K198" s="18"/>
      <c r="L198" s="19">
        <f>SUM(F198:K198)</f>
        <v>110166.96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514.5+2026.5</f>
        <v>2541</v>
      </c>
      <c r="G200" s="18">
        <f>39.35+53.55+9+155.02+286.95+28</f>
        <v>571.87</v>
      </c>
      <c r="H200" s="18"/>
      <c r="I200" s="18"/>
      <c r="J200" s="18"/>
      <c r="K200" s="18">
        <f>242+104</f>
        <v>346</v>
      </c>
      <c r="L200" s="19">
        <f>SUM(F200:K200)</f>
        <v>3458.87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14711.06+9531.62+374.5+1301.52+8092.72+1066.03+869</f>
        <v>35946.449999999997</v>
      </c>
      <c r="G202" s="18">
        <f>5174.78+1125.29+2083.12+38+757.87+34+718.67+32.69+66.49+123.05+3</f>
        <v>10156.959999999999</v>
      </c>
      <c r="H202" s="18">
        <f>1273.8+24802.93+77+2458.75+9855.09+1701+220+3077.07</f>
        <v>43465.64</v>
      </c>
      <c r="I202" s="18">
        <f>244.37+189.79+161.7+117.09+74.95+902.1</f>
        <v>1690</v>
      </c>
      <c r="J202" s="18">
        <v>4102.9399999999996</v>
      </c>
      <c r="K202" s="18">
        <f>381.78+138</f>
        <v>519.78</v>
      </c>
      <c r="L202" s="19">
        <f t="shared" ref="L202:L208" si="0">SUM(F202:K202)</f>
        <v>95881.76999999999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4105.5+25030.98</f>
        <v>29136.48</v>
      </c>
      <c r="G203" s="18">
        <f>314.18+581.54+4134+34+2679.9+4818.72+120+1000</f>
        <v>13682.34</v>
      </c>
      <c r="H203" s="18">
        <f>54.22+175.92+1701.63</f>
        <v>1931.77</v>
      </c>
      <c r="I203" s="18"/>
      <c r="J203" s="18"/>
      <c r="K203" s="18">
        <f>383.4+1767+381.78</f>
        <v>2532.1800000000003</v>
      </c>
      <c r="L203" s="19">
        <f t="shared" si="0"/>
        <v>47282.77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1957+999.93</f>
        <v>2956.93</v>
      </c>
      <c r="G204" s="18">
        <f>149.74+12+76.44+141.69+4</f>
        <v>383.87</v>
      </c>
      <c r="H204" s="18">
        <f>6988.35+3762+636.8+734.4+108026.41</f>
        <v>120147.96</v>
      </c>
      <c r="I204" s="18">
        <v>244.53</v>
      </c>
      <c r="J204" s="18"/>
      <c r="K204" s="18">
        <v>2505.89</v>
      </c>
      <c r="L204" s="19">
        <f t="shared" si="0"/>
        <v>126239.18000000001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30749.94+19089.78+2125</f>
        <v>51964.72</v>
      </c>
      <c r="G205" s="18">
        <f>13008.49+3831.32+6131.75+250+1000</f>
        <v>24221.56</v>
      </c>
      <c r="H205" s="18">
        <f>240.53+255+1153.65+677.5+808+57.75</f>
        <v>3192.4300000000003</v>
      </c>
      <c r="I205" s="18">
        <f>513.59+162.88+769.33</f>
        <v>1445.8000000000002</v>
      </c>
      <c r="J205" s="18"/>
      <c r="K205" s="18">
        <v>1616</v>
      </c>
      <c r="L205" s="19">
        <f t="shared" si="0"/>
        <v>82440.509999999995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27806.26+8014.7</f>
        <v>35820.959999999999</v>
      </c>
      <c r="G207" s="18">
        <f>14561.74+2740.26+2994.8+1642</f>
        <v>21938.799999999999</v>
      </c>
      <c r="H207" s="18">
        <f>8001.19+5200+1945.85+434.65+22516.85+379.74+4667.4+61.2</f>
        <v>43206.87999999999</v>
      </c>
      <c r="I207" s="18">
        <f>6220.97+21906.73+38282.06+285.59</f>
        <v>66695.349999999991</v>
      </c>
      <c r="J207" s="18">
        <v>754.72</v>
      </c>
      <c r="K207" s="18">
        <v>17.68</v>
      </c>
      <c r="L207" s="19">
        <f t="shared" si="0"/>
        <v>168434.38999999998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17749.65+524.69+1801.29</f>
        <v>20075.63</v>
      </c>
      <c r="G208" s="18">
        <f>1383.5+847+500.7+40.14+105+137.79+90</f>
        <v>3104.1299999999997</v>
      </c>
      <c r="H208" s="18">
        <f>8915.49+1285.8+59.99+20.25</f>
        <v>10281.529999999999</v>
      </c>
      <c r="I208" s="18">
        <f>1531.36+183.6+5681+143.14</f>
        <v>7539.1</v>
      </c>
      <c r="J208" s="18"/>
      <c r="K208" s="18">
        <v>285.89999999999998</v>
      </c>
      <c r="L208" s="19">
        <f t="shared" si="0"/>
        <v>41286.29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2726.68</v>
      </c>
      <c r="I209" s="18"/>
      <c r="J209" s="18"/>
      <c r="K209" s="18"/>
      <c r="L209" s="19">
        <f>SUM(F209:K209)</f>
        <v>2726.68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768493.33</v>
      </c>
      <c r="G211" s="41">
        <f t="shared" si="1"/>
        <v>422582.11000000004</v>
      </c>
      <c r="H211" s="41">
        <f t="shared" si="1"/>
        <v>239768.06999999998</v>
      </c>
      <c r="I211" s="41">
        <f t="shared" si="1"/>
        <v>88300.39</v>
      </c>
      <c r="J211" s="41">
        <f t="shared" si="1"/>
        <v>4857.66</v>
      </c>
      <c r="K211" s="41">
        <f t="shared" si="1"/>
        <v>7823.43</v>
      </c>
      <c r="L211" s="41">
        <f t="shared" si="1"/>
        <v>1531824.9899999998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263602.06+6831.6</f>
        <v>270433.65999999997</v>
      </c>
      <c r="G233" s="18">
        <f>3000+81835.48+562.2+19519.44+35640.18+302.5+126</f>
        <v>140985.79999999999</v>
      </c>
      <c r="H233" s="18">
        <f>2362.5+9109.75+1147.95+175+1200</f>
        <v>13995.2</v>
      </c>
      <c r="I233" s="18">
        <f>7421.95+663.03-454.84</f>
        <v>7630.1399999999994</v>
      </c>
      <c r="J233" s="18">
        <v>454.84</v>
      </c>
      <c r="K233" s="18"/>
      <c r="L233" s="19">
        <f>SUM(F233:K233)</f>
        <v>433499.64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4681.1</f>
        <v>4681.1000000000004</v>
      </c>
      <c r="G234" s="18">
        <f>337.77+662.75+126+2410.18</f>
        <v>3536.7</v>
      </c>
      <c r="H234" s="18"/>
      <c r="I234" s="18"/>
      <c r="J234" s="18"/>
      <c r="K234" s="18"/>
      <c r="L234" s="19">
        <f>SUM(F234:K234)</f>
        <v>8217.7999999999993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2934.5+20998.5+618</f>
        <v>24551</v>
      </c>
      <c r="G236" s="18">
        <f>224.51+396.24+10+1653.66+330.56+85</f>
        <v>2699.97</v>
      </c>
      <c r="H236" s="18">
        <f>3881.5+1302+3422+9490.57+958</f>
        <v>19054.07</v>
      </c>
      <c r="I236" s="18">
        <f>372.2+1286.42</f>
        <v>1658.6200000000001</v>
      </c>
      <c r="J236" s="18">
        <v>143.84</v>
      </c>
      <c r="K236" s="18">
        <f>2810+1759.5</f>
        <v>4569.5</v>
      </c>
      <c r="L236" s="19">
        <f>SUM(F236:K236)</f>
        <v>52677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32289.64+869</f>
        <v>33158.639999999999</v>
      </c>
      <c r="G238" s="18">
        <f>14240.88+2470.21+4572.21+150+66.47+123.05+3</f>
        <v>21625.82</v>
      </c>
      <c r="H238" s="18">
        <f>529.2+422.2+15276.47+33+180+575+2690.63</f>
        <v>19706.5</v>
      </c>
      <c r="I238" s="18">
        <f>281.94+264+195.57+124.9+883.9</f>
        <v>1750.31</v>
      </c>
      <c r="J238" s="18">
        <v>5446.27</v>
      </c>
      <c r="K238" s="18">
        <f>611.67+62</f>
        <v>673.67</v>
      </c>
      <c r="L238" s="19">
        <f t="shared" ref="L238:L244" si="4">SUM(F238:K238)</f>
        <v>82361.209999999992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2091+25032.02</f>
        <v>27123.02</v>
      </c>
      <c r="G239" s="18">
        <f>-3000+159.967+286.45+3864+23+2220.9+3969.38+80+4000</f>
        <v>11603.697</v>
      </c>
      <c r="H239" s="18"/>
      <c r="I239" s="18">
        <v>100</v>
      </c>
      <c r="J239" s="18"/>
      <c r="K239" s="18">
        <f>370.6+1083+254.52</f>
        <v>1708.12</v>
      </c>
      <c r="L239" s="19">
        <f t="shared" si="4"/>
        <v>40534.837000000007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1308</v>
      </c>
      <c r="G240" s="18">
        <f>100.11+8</f>
        <v>108.11</v>
      </c>
      <c r="H240" s="18">
        <f>6433.15+2508+334.7+489.6+72017.64</f>
        <v>81783.09</v>
      </c>
      <c r="I240" s="18">
        <v>226.54</v>
      </c>
      <c r="J240" s="18"/>
      <c r="K240" s="18">
        <v>1468.51</v>
      </c>
      <c r="L240" s="19">
        <f t="shared" si="4"/>
        <v>84894.249999999985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30749.94+19087.84+2125</f>
        <v>51962.78</v>
      </c>
      <c r="G241" s="18">
        <f>6407.17+4051.4+6131.65+168+1000</f>
        <v>17758.22</v>
      </c>
      <c r="H241" s="18">
        <f>173.79+170+902.52+422.5+160.92+24.75</f>
        <v>1854.48</v>
      </c>
      <c r="I241" s="18">
        <f>217.95+148.42+500.83+557.89</f>
        <v>1425.0900000000001</v>
      </c>
      <c r="J241" s="18"/>
      <c r="K241" s="18">
        <v>1503</v>
      </c>
      <c r="L241" s="19">
        <f t="shared" si="4"/>
        <v>74503.569999999992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22642.01+8015.09</f>
        <v>30657.1</v>
      </c>
      <c r="G243" s="18">
        <f>4853.91+2345.35+2438.58+1095</f>
        <v>10732.84</v>
      </c>
      <c r="H243" s="18">
        <f>6807.19+2800+1037.15+294.15+11588.64+168.84+3111.6+28.8</f>
        <v>25836.369999999995</v>
      </c>
      <c r="I243" s="18">
        <f>4640.63+14450.2+24417.02+186.78</f>
        <v>43694.630000000005</v>
      </c>
      <c r="J243" s="18"/>
      <c r="K243" s="18">
        <v>7.57</v>
      </c>
      <c r="L243" s="19">
        <f t="shared" si="4"/>
        <v>110928.51000000001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9211.4+14235.15+2046.91</f>
        <v>25493.46</v>
      </c>
      <c r="G244" s="18">
        <f>717.31+565+250.3+1088.99+647+156.59+72</f>
        <v>3497.19</v>
      </c>
      <c r="H244" s="18">
        <f>5549.5+857.2+40+75.21+496.73</f>
        <v>7018.6399999999994</v>
      </c>
      <c r="I244" s="18">
        <f>785.05+104.4+2434.71+6061.98+1391.26</f>
        <v>10777.4</v>
      </c>
      <c r="J244" s="18"/>
      <c r="K244" s="18">
        <f>174.6+180.21</f>
        <v>354.81</v>
      </c>
      <c r="L244" s="19">
        <f t="shared" si="4"/>
        <v>47141.499999999993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v>1898.32</v>
      </c>
      <c r="I245" s="18"/>
      <c r="J245" s="18"/>
      <c r="K245" s="18"/>
      <c r="L245" s="19">
        <f>SUM(F245:K245)</f>
        <v>1898.32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469368.75999999995</v>
      </c>
      <c r="G247" s="41">
        <f t="shared" si="5"/>
        <v>212548.34700000001</v>
      </c>
      <c r="H247" s="41">
        <f t="shared" si="5"/>
        <v>171146.66999999998</v>
      </c>
      <c r="I247" s="41">
        <f t="shared" si="5"/>
        <v>67262.73</v>
      </c>
      <c r="J247" s="41">
        <f t="shared" si="5"/>
        <v>6044.9500000000007</v>
      </c>
      <c r="K247" s="41">
        <f t="shared" si="5"/>
        <v>10285.179999999998</v>
      </c>
      <c r="L247" s="41">
        <f t="shared" si="5"/>
        <v>936656.63699999999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1237862.0899999999</v>
      </c>
      <c r="G257" s="41">
        <f t="shared" si="8"/>
        <v>635130.45700000005</v>
      </c>
      <c r="H257" s="41">
        <f t="shared" si="8"/>
        <v>410914.74</v>
      </c>
      <c r="I257" s="41">
        <f t="shared" si="8"/>
        <v>155563.12</v>
      </c>
      <c r="J257" s="41">
        <f t="shared" si="8"/>
        <v>10902.61</v>
      </c>
      <c r="K257" s="41">
        <f t="shared" si="8"/>
        <v>18108.61</v>
      </c>
      <c r="L257" s="41">
        <f t="shared" si="8"/>
        <v>2468481.6269999999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195000</v>
      </c>
      <c r="L260" s="19">
        <f>SUM(F260:K260)</f>
        <v>195000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15356.25</v>
      </c>
      <c r="L261" s="19">
        <f>SUM(F261:K261)</f>
        <v>15356.25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11000</v>
      </c>
      <c r="L263" s="19">
        <f>SUM(F263:K263)</f>
        <v>11000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40000</v>
      </c>
      <c r="L266" s="19">
        <f t="shared" si="9"/>
        <v>40000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261356.25</v>
      </c>
      <c r="L270" s="41">
        <f t="shared" si="9"/>
        <v>261356.25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1237862.0899999999</v>
      </c>
      <c r="G271" s="42">
        <f t="shared" si="11"/>
        <v>635130.45700000005</v>
      </c>
      <c r="H271" s="42">
        <f t="shared" si="11"/>
        <v>410914.74</v>
      </c>
      <c r="I271" s="42">
        <f t="shared" si="11"/>
        <v>155563.12</v>
      </c>
      <c r="J271" s="42">
        <f t="shared" si="11"/>
        <v>10902.61</v>
      </c>
      <c r="K271" s="42">
        <f t="shared" si="11"/>
        <v>279464.86</v>
      </c>
      <c r="L271" s="42">
        <f t="shared" si="11"/>
        <v>2729837.8769999999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125.68</v>
      </c>
      <c r="J276" s="18">
        <v>2834.27</v>
      </c>
      <c r="K276" s="18"/>
      <c r="L276" s="19">
        <f>SUM(F276:K276)</f>
        <v>2959.95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36611.75</v>
      </c>
      <c r="G277" s="18">
        <f>2076+2800.96+5184.38</f>
        <v>10061.34</v>
      </c>
      <c r="H277" s="18"/>
      <c r="I277" s="18"/>
      <c r="J277" s="18"/>
      <c r="K277" s="18"/>
      <c r="L277" s="19">
        <f>SUM(F277:K277)</f>
        <v>46673.09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7129</v>
      </c>
      <c r="I281" s="18"/>
      <c r="J281" s="18"/>
      <c r="K281" s="18">
        <f>125+5133.84</f>
        <v>5258.84</v>
      </c>
      <c r="L281" s="19">
        <f t="shared" ref="L281:L287" si="12">SUM(F281:K281)</f>
        <v>12387.84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2711.5+3669.7+3151.55</f>
        <v>9532.75</v>
      </c>
      <c r="G282" s="18">
        <f>207.43+383.94+280.73+519.62+241+446.04</f>
        <v>2078.7600000000002</v>
      </c>
      <c r="H282" s="18">
        <f>1600+180+736.74+903.92+5500+1491.73</f>
        <v>10412.39</v>
      </c>
      <c r="I282" s="18">
        <v>946.83</v>
      </c>
      <c r="J282" s="18"/>
      <c r="K282" s="18">
        <f>1596+1432</f>
        <v>3028</v>
      </c>
      <c r="L282" s="19">
        <f t="shared" si="12"/>
        <v>25998.730000000003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500+1000+100</f>
        <v>1600</v>
      </c>
      <c r="L285" s="19">
        <f t="shared" si="12"/>
        <v>1600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46144.5</v>
      </c>
      <c r="G290" s="42">
        <f t="shared" si="13"/>
        <v>12140.1</v>
      </c>
      <c r="H290" s="42">
        <f t="shared" si="13"/>
        <v>17541.39</v>
      </c>
      <c r="I290" s="42">
        <f t="shared" si="13"/>
        <v>1072.51</v>
      </c>
      <c r="J290" s="42">
        <f t="shared" si="13"/>
        <v>2834.27</v>
      </c>
      <c r="K290" s="42">
        <f t="shared" si="13"/>
        <v>9886.84</v>
      </c>
      <c r="L290" s="41">
        <f t="shared" si="13"/>
        <v>89619.609999999986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450</v>
      </c>
      <c r="G320" s="18">
        <f>34.43+63.72</f>
        <v>98.15</v>
      </c>
      <c r="H320" s="18"/>
      <c r="I320" s="18"/>
      <c r="J320" s="18"/>
      <c r="K320" s="18"/>
      <c r="L320" s="19">
        <f t="shared" si="16"/>
        <v>548.15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450</v>
      </c>
      <c r="G328" s="42">
        <f t="shared" si="17"/>
        <v>98.15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548.15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46594.5</v>
      </c>
      <c r="G338" s="41">
        <f t="shared" si="20"/>
        <v>12238.25</v>
      </c>
      <c r="H338" s="41">
        <f t="shared" si="20"/>
        <v>17541.39</v>
      </c>
      <c r="I338" s="41">
        <f t="shared" si="20"/>
        <v>1072.51</v>
      </c>
      <c r="J338" s="41">
        <f t="shared" si="20"/>
        <v>2834.27</v>
      </c>
      <c r="K338" s="41">
        <f t="shared" si="20"/>
        <v>9886.84</v>
      </c>
      <c r="L338" s="41">
        <f t="shared" si="20"/>
        <v>90167.75999999998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46594.5</v>
      </c>
      <c r="G352" s="41">
        <f>G338</f>
        <v>12238.25</v>
      </c>
      <c r="H352" s="41">
        <f>H338</f>
        <v>17541.39</v>
      </c>
      <c r="I352" s="41">
        <f>I338</f>
        <v>1072.51</v>
      </c>
      <c r="J352" s="41">
        <f>J338</f>
        <v>2834.27</v>
      </c>
      <c r="K352" s="47">
        <f>K338+K351</f>
        <v>9886.84</v>
      </c>
      <c r="L352" s="41">
        <f>L338+L351</f>
        <v>90167.75999999998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478.5+33684.72</f>
        <v>34163.22</v>
      </c>
      <c r="I358" s="18">
        <v>853.07</v>
      </c>
      <c r="J358" s="18"/>
      <c r="K358" s="18"/>
      <c r="L358" s="13">
        <f>SUM(F358:K358)</f>
        <v>35016.29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19551.78</v>
      </c>
      <c r="I360" s="18">
        <f>319+451.71</f>
        <v>770.71</v>
      </c>
      <c r="J360" s="18"/>
      <c r="K360" s="18"/>
      <c r="L360" s="19">
        <f>SUM(F360:K360)</f>
        <v>20322.489999999998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53715</v>
      </c>
      <c r="I362" s="47">
        <f t="shared" si="22"/>
        <v>1623.7800000000002</v>
      </c>
      <c r="J362" s="47">
        <f t="shared" si="22"/>
        <v>0</v>
      </c>
      <c r="K362" s="47">
        <f t="shared" si="22"/>
        <v>0</v>
      </c>
      <c r="L362" s="47">
        <f t="shared" si="22"/>
        <v>55338.78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>
        <v>319</v>
      </c>
      <c r="I367" s="56">
        <f>SUM(F367:H367)</f>
        <v>319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853.07399999999996</v>
      </c>
      <c r="G368" s="63"/>
      <c r="H368" s="63">
        <v>451.71</v>
      </c>
      <c r="I368" s="56">
        <f>SUM(F368:H368)</f>
        <v>1304.7839999999999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853.07399999999996</v>
      </c>
      <c r="G369" s="47">
        <f>SUM(G367:G368)</f>
        <v>0</v>
      </c>
      <c r="H369" s="47">
        <f>SUM(H367:H368)</f>
        <v>770.71</v>
      </c>
      <c r="I369" s="47">
        <f>SUM(I367:I368)</f>
        <v>1623.7839999999999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30000</v>
      </c>
      <c r="H396" s="18">
        <f>16.87+17.41+0.1</f>
        <v>34.380000000000003</v>
      </c>
      <c r="I396" s="18"/>
      <c r="J396" s="24" t="s">
        <v>289</v>
      </c>
      <c r="K396" s="24" t="s">
        <v>289</v>
      </c>
      <c r="L396" s="56">
        <f t="shared" si="26"/>
        <v>30034.38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22.99</v>
      </c>
      <c r="I398" s="18"/>
      <c r="J398" s="24" t="s">
        <v>289</v>
      </c>
      <c r="K398" s="24" t="s">
        <v>289</v>
      </c>
      <c r="L398" s="56">
        <f t="shared" si="26"/>
        <v>22.99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0.11</v>
      </c>
      <c r="I399" s="18"/>
      <c r="J399" s="24" t="s">
        <v>289</v>
      </c>
      <c r="K399" s="24" t="s">
        <v>289</v>
      </c>
      <c r="L399" s="56">
        <f t="shared" si="26"/>
        <v>0.11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10000</v>
      </c>
      <c r="H400" s="18">
        <f>4.43+68.12</f>
        <v>72.550000000000011</v>
      </c>
      <c r="I400" s="18">
        <v>230</v>
      </c>
      <c r="J400" s="24" t="s">
        <v>289</v>
      </c>
      <c r="K400" s="24" t="s">
        <v>289</v>
      </c>
      <c r="L400" s="56">
        <f t="shared" si="26"/>
        <v>10302.549999999999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40000</v>
      </c>
      <c r="H401" s="47">
        <f>SUM(H395:H400)</f>
        <v>130.03000000000003</v>
      </c>
      <c r="I401" s="47">
        <f>SUM(I395:I400)</f>
        <v>230</v>
      </c>
      <c r="J401" s="45" t="s">
        <v>289</v>
      </c>
      <c r="K401" s="45" t="s">
        <v>289</v>
      </c>
      <c r="L401" s="47">
        <f>SUM(L395:L400)</f>
        <v>40360.03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40000</v>
      </c>
      <c r="H408" s="47">
        <f>H393+H401+H407</f>
        <v>130.03000000000003</v>
      </c>
      <c r="I408" s="47">
        <f>I393+I401+I407</f>
        <v>230</v>
      </c>
      <c r="J408" s="24" t="s">
        <v>289</v>
      </c>
      <c r="K408" s="24" t="s">
        <v>289</v>
      </c>
      <c r="L408" s="47">
        <f>L393+L401+L407</f>
        <v>40360.03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541000.98-2402.78</f>
        <v>538598.19999999995</v>
      </c>
      <c r="H439" s="18"/>
      <c r="I439" s="56">
        <f t="shared" ref="I439:I445" si="33">SUM(F439:H439)</f>
        <v>538598.19999999995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538598.19999999995</v>
      </c>
      <c r="H446" s="13">
        <f>SUM(H439:H445)</f>
        <v>0</v>
      </c>
      <c r="I446" s="13">
        <f>SUM(I439:I445)</f>
        <v>538598.19999999995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498238.17+130.03+40230</f>
        <v>538598.19999999995</v>
      </c>
      <c r="H459" s="18"/>
      <c r="I459" s="56">
        <f t="shared" si="34"/>
        <v>538598.19999999995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538598.19999999995</v>
      </c>
      <c r="H460" s="83">
        <f>SUM(H454:H459)</f>
        <v>0</v>
      </c>
      <c r="I460" s="83">
        <f>SUM(I454:I459)</f>
        <v>538598.19999999995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538598.19999999995</v>
      </c>
      <c r="H461" s="42">
        <f>H452+H460</f>
        <v>0</v>
      </c>
      <c r="I461" s="42">
        <f>I452+I460</f>
        <v>538598.19999999995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227017.28</v>
      </c>
      <c r="G465" s="18">
        <v>12536.15</v>
      </c>
      <c r="H465" s="18">
        <v>0</v>
      </c>
      <c r="I465" s="18"/>
      <c r="J465" s="18">
        <v>498238.17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2760282.31</v>
      </c>
      <c r="G468" s="18">
        <v>56483.22</v>
      </c>
      <c r="H468" s="18">
        <v>90167.76</v>
      </c>
      <c r="I468" s="18"/>
      <c r="J468" s="18">
        <f>40230+130.03</f>
        <v>40360.03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2760282.31</v>
      </c>
      <c r="G470" s="53">
        <f>SUM(G468:G469)</f>
        <v>56483.22</v>
      </c>
      <c r="H470" s="53">
        <f>SUM(H468:H469)</f>
        <v>90167.76</v>
      </c>
      <c r="I470" s="53">
        <f>SUM(I468:I469)</f>
        <v>0</v>
      </c>
      <c r="J470" s="53">
        <f>SUM(J468:J469)</f>
        <v>40360.03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2729837.878</v>
      </c>
      <c r="G472" s="18">
        <v>55338.78</v>
      </c>
      <c r="H472" s="18">
        <v>90167.76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0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2729837.878</v>
      </c>
      <c r="G474" s="53">
        <f>SUM(G472:G473)</f>
        <v>55338.78</v>
      </c>
      <c r="H474" s="53">
        <f>SUM(H472:H473)</f>
        <v>90167.76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257461.71199999982</v>
      </c>
      <c r="G476" s="53">
        <f>(G465+G470)- G474</f>
        <v>13680.589999999997</v>
      </c>
      <c r="H476" s="53">
        <f>(H465+H470)- H474</f>
        <v>0</v>
      </c>
      <c r="I476" s="53">
        <f>(I465+I470)- I474</f>
        <v>0</v>
      </c>
      <c r="J476" s="53">
        <f>(J465+J470)- J474</f>
        <v>538598.19999999995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3010000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390000</v>
      </c>
      <c r="G495" s="18"/>
      <c r="H495" s="18"/>
      <c r="I495" s="18"/>
      <c r="J495" s="18"/>
      <c r="K495" s="53">
        <f>SUM(F495:J495)</f>
        <v>390000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195000</v>
      </c>
      <c r="G497" s="18"/>
      <c r="H497" s="18"/>
      <c r="I497" s="18"/>
      <c r="J497" s="18"/>
      <c r="K497" s="53">
        <f t="shared" si="35"/>
        <v>195000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195000</v>
      </c>
      <c r="G498" s="204"/>
      <c r="H498" s="204"/>
      <c r="I498" s="204"/>
      <c r="J498" s="204"/>
      <c r="K498" s="205">
        <f t="shared" si="35"/>
        <v>195000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5118.75</f>
        <v>5118.75</v>
      </c>
      <c r="G499" s="18"/>
      <c r="H499" s="18"/>
      <c r="I499" s="18"/>
      <c r="J499" s="18"/>
      <c r="K499" s="53">
        <f t="shared" si="35"/>
        <v>5118.75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200118.75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200118.75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195000</v>
      </c>
      <c r="G501" s="204"/>
      <c r="H501" s="204"/>
      <c r="I501" s="204"/>
      <c r="J501" s="204"/>
      <c r="K501" s="205">
        <f t="shared" si="35"/>
        <v>195000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5118.75</v>
      </c>
      <c r="G502" s="18"/>
      <c r="H502" s="18"/>
      <c r="I502" s="18"/>
      <c r="J502" s="18"/>
      <c r="K502" s="53">
        <f t="shared" si="35"/>
        <v>5118.75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200118.75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200118.75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42136.9+26666.08+2166.5</f>
        <v>70969.48000000001</v>
      </c>
      <c r="G521" s="18">
        <f>17005.48+5168.43+6273.26+189+126</f>
        <v>28762.17</v>
      </c>
      <c r="H521" s="18"/>
      <c r="I521" s="18"/>
      <c r="J521" s="18"/>
      <c r="K521" s="18"/>
      <c r="L521" s="88">
        <f>SUM(F521:K521)</f>
        <v>99731.650000000009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70969.48000000001</v>
      </c>
      <c r="G524" s="108">
        <f t="shared" ref="G524:L524" si="36">SUM(G521:G523)</f>
        <v>28762.17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99731.650000000009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5989.69+107+8092.72</f>
        <v>14189.41</v>
      </c>
      <c r="G526" s="18">
        <f>466.46+17+619.1</f>
        <v>1102.56</v>
      </c>
      <c r="H526" s="18">
        <f>7764.69+189.79+161.7+117.09+1701+24259.52</f>
        <v>34193.79</v>
      </c>
      <c r="I526" s="18"/>
      <c r="J526" s="18"/>
      <c r="K526" s="18"/>
      <c r="L526" s="88">
        <f>SUM(F526:K526)</f>
        <v>49485.760000000002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6064.88</v>
      </c>
      <c r="I528" s="18"/>
      <c r="J528" s="18"/>
      <c r="K528" s="18"/>
      <c r="L528" s="88">
        <f>SUM(F528:K528)</f>
        <v>6064.88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14189.41</v>
      </c>
      <c r="G529" s="89">
        <f t="shared" ref="G529:L529" si="37">SUM(G526:G528)</f>
        <v>1102.56</v>
      </c>
      <c r="H529" s="89">
        <f t="shared" si="37"/>
        <v>40258.67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55550.64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13536.38</v>
      </c>
      <c r="I531" s="18"/>
      <c r="J531" s="18"/>
      <c r="K531" s="18"/>
      <c r="L531" s="88">
        <f>SUM(F531:K531)</f>
        <v>13536.38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3384.09</v>
      </c>
      <c r="I533" s="18"/>
      <c r="J533" s="18"/>
      <c r="K533" s="18"/>
      <c r="L533" s="88">
        <f>SUM(F533:K533)</f>
        <v>3384.09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16920.47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16920.47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85158.890000000014</v>
      </c>
      <c r="G545" s="89">
        <f t="shared" ref="G545:L545" si="41">G524+G529+G534+G539+G544</f>
        <v>29864.73</v>
      </c>
      <c r="H545" s="89">
        <f t="shared" si="41"/>
        <v>57179.14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172202.76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99731.650000000009</v>
      </c>
      <c r="G549" s="87">
        <f>L526</f>
        <v>49485.760000000002</v>
      </c>
      <c r="H549" s="87">
        <f>L531</f>
        <v>13536.38</v>
      </c>
      <c r="I549" s="87">
        <f>L536</f>
        <v>0</v>
      </c>
      <c r="J549" s="87">
        <f>L541</f>
        <v>0</v>
      </c>
      <c r="K549" s="87">
        <f>SUM(F549:J549)</f>
        <v>162753.79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6064.88</v>
      </c>
      <c r="H551" s="87">
        <f>L533</f>
        <v>3384.09</v>
      </c>
      <c r="I551" s="87">
        <f>L538</f>
        <v>0</v>
      </c>
      <c r="J551" s="87">
        <f>L543</f>
        <v>0</v>
      </c>
      <c r="K551" s="87">
        <f>SUM(F551:J551)</f>
        <v>9448.9700000000012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99731.650000000009</v>
      </c>
      <c r="G552" s="89">
        <f t="shared" si="42"/>
        <v>55550.64</v>
      </c>
      <c r="H552" s="89">
        <f t="shared" si="42"/>
        <v>16920.47</v>
      </c>
      <c r="I552" s="89">
        <f t="shared" si="42"/>
        <v>0</v>
      </c>
      <c r="J552" s="89">
        <f t="shared" si="42"/>
        <v>0</v>
      </c>
      <c r="K552" s="89">
        <f t="shared" si="42"/>
        <v>172202.76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38444.239999999998</v>
      </c>
      <c r="I591" s="18"/>
      <c r="J591" s="18">
        <v>20764.68</v>
      </c>
      <c r="K591" s="104">
        <f t="shared" ref="K591:K597" si="48">SUM(H591:J591)</f>
        <v>59208.92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669.83</v>
      </c>
      <c r="I594" s="18"/>
      <c r="J594" s="18">
        <v>22033.119999999999</v>
      </c>
      <c r="K594" s="104">
        <f t="shared" si="48"/>
        <v>22702.95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2172.2199999999998</v>
      </c>
      <c r="I595" s="18"/>
      <c r="J595" s="18">
        <v>4343.7</v>
      </c>
      <c r="K595" s="104">
        <f t="shared" si="48"/>
        <v>6515.92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41286.29</v>
      </c>
      <c r="I598" s="108">
        <f>SUM(I591:I597)</f>
        <v>0</v>
      </c>
      <c r="J598" s="108">
        <f>SUM(J591:J597)</f>
        <v>47141.5</v>
      </c>
      <c r="K598" s="108">
        <f>SUM(K591:K597)</f>
        <v>88427.79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4102.94+754.72+2834.27</f>
        <v>7691.93</v>
      </c>
      <c r="I604" s="18"/>
      <c r="J604" s="18">
        <f>454.84+143.84+5446.27</f>
        <v>6044.9500000000007</v>
      </c>
      <c r="K604" s="104">
        <f>SUM(H604:J604)</f>
        <v>13736.880000000001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7691.93</v>
      </c>
      <c r="I605" s="108">
        <f>SUM(I602:I604)</f>
        <v>0</v>
      </c>
      <c r="J605" s="108">
        <f>SUM(J602:J604)</f>
        <v>6044.9500000000007</v>
      </c>
      <c r="K605" s="108">
        <f>SUM(K602:K604)</f>
        <v>13736.880000000001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293152.82</v>
      </c>
      <c r="H617" s="109">
        <f>SUM(F52)</f>
        <v>293152.81999999995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14162.42</v>
      </c>
      <c r="H618" s="109">
        <f>SUM(G52)</f>
        <v>14162.419999999995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42940.87</v>
      </c>
      <c r="H619" s="109">
        <f>SUM(H52)</f>
        <v>42940.87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538598.19999999995</v>
      </c>
      <c r="H621" s="109">
        <f>SUM(J52)</f>
        <v>538598.19999999995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257461.70999999996</v>
      </c>
      <c r="H622" s="109">
        <f>F476</f>
        <v>257461.71199999982</v>
      </c>
      <c r="I622" s="121" t="s">
        <v>101</v>
      </c>
      <c r="J622" s="109">
        <f t="shared" ref="J622:J655" si="50">G622-H622</f>
        <v>-1.999999862164259E-3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13680.589999999995</v>
      </c>
      <c r="H623" s="109">
        <f>G476</f>
        <v>13680.589999999997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538598.19999999995</v>
      </c>
      <c r="H626" s="109">
        <f>J476</f>
        <v>538598.19999999995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2760282.31</v>
      </c>
      <c r="H627" s="104">
        <f>SUM(F468)</f>
        <v>2760282.31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56483.22</v>
      </c>
      <c r="H628" s="104">
        <f>SUM(G468)</f>
        <v>56483.22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90167.76</v>
      </c>
      <c r="H629" s="104">
        <f>SUM(H468)</f>
        <v>90167.76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40360.03</v>
      </c>
      <c r="H631" s="104">
        <f>SUM(J468)</f>
        <v>40360.03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2729837.8769999999</v>
      </c>
      <c r="H632" s="104">
        <f>SUM(F472)</f>
        <v>2729837.878</v>
      </c>
      <c r="I632" s="140" t="s">
        <v>111</v>
      </c>
      <c r="J632" s="109">
        <f t="shared" si="50"/>
        <v>-1.0000001639127731E-3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90167.75999999998</v>
      </c>
      <c r="H633" s="104">
        <f>SUM(H472)</f>
        <v>90167.76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1623.7800000000002</v>
      </c>
      <c r="H634" s="104">
        <f>I369</f>
        <v>1623.7839999999999</v>
      </c>
      <c r="I634" s="143" t="s">
        <v>248</v>
      </c>
      <c r="J634" s="109">
        <f>G634-H634</f>
        <v>-3.9999999996780389E-3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55338.78</v>
      </c>
      <c r="H635" s="104">
        <f>SUM(G472)</f>
        <v>55338.78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40360.03</v>
      </c>
      <c r="H637" s="164">
        <f>SUM(J468)</f>
        <v>40360.03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538598.19999999995</v>
      </c>
      <c r="H640" s="104">
        <f>SUM(G461)</f>
        <v>538598.19999999995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538598.19999999995</v>
      </c>
      <c r="H642" s="104">
        <f>SUM(I461)</f>
        <v>538598.19999999995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130.03</v>
      </c>
      <c r="H644" s="104">
        <f>H408</f>
        <v>130.03000000000003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40000</v>
      </c>
      <c r="H645" s="104">
        <f>G408</f>
        <v>40000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40360.03</v>
      </c>
      <c r="H646" s="104">
        <f>L408</f>
        <v>40360.03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88427.79</v>
      </c>
      <c r="H647" s="104">
        <f>L208+L226+L244</f>
        <v>88427.79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13736.880000000001</v>
      </c>
      <c r="H648" s="104">
        <f>(J257+J338)-(J255+J336)</f>
        <v>13736.880000000001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41286.29</v>
      </c>
      <c r="H649" s="104">
        <f>H598</f>
        <v>41286.29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47141.499999999993</v>
      </c>
      <c r="H651" s="104">
        <f>J598</f>
        <v>47141.5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11000</v>
      </c>
      <c r="H652" s="104">
        <f>K263+K345</f>
        <v>11000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40000</v>
      </c>
      <c r="H655" s="104">
        <f>K266+K347</f>
        <v>40000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-7.0000011473894119E-3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1656460.8899999997</v>
      </c>
      <c r="G660" s="19">
        <f>(L229+L309+L359)</f>
        <v>0</v>
      </c>
      <c r="H660" s="19">
        <f>(L247+L328+L360)</f>
        <v>957527.277</v>
      </c>
      <c r="I660" s="19">
        <f>SUM(F660:H660)</f>
        <v>2613988.1669999994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12201.541482197475</v>
      </c>
      <c r="G661" s="19">
        <f>(L359/IF(SUM(L358:L360)=0,1,SUM(L358:L360))*(SUM(G97:G110)))</f>
        <v>0</v>
      </c>
      <c r="H661" s="19">
        <f>(L360/IF(SUM(L358:L360)=0,1,SUM(L358:L360))*(SUM(G97:G110)))</f>
        <v>7081.4385178025241</v>
      </c>
      <c r="I661" s="19">
        <f>SUM(F661:H661)</f>
        <v>19282.98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41286.29</v>
      </c>
      <c r="G662" s="19">
        <f>(L226+L306)-(J226+J306)</f>
        <v>0</v>
      </c>
      <c r="H662" s="19">
        <f>(L244+L325)-(J244+J325)</f>
        <v>47141.499999999993</v>
      </c>
      <c r="I662" s="19">
        <f>SUM(F662:H662)</f>
        <v>88427.79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7691.93</v>
      </c>
      <c r="G663" s="199">
        <f>SUM(G575:G587)+SUM(I602:I604)+L612</f>
        <v>0</v>
      </c>
      <c r="H663" s="199">
        <f>SUM(H575:H587)+SUM(J602:J604)+L613</f>
        <v>6044.9500000000007</v>
      </c>
      <c r="I663" s="19">
        <f>SUM(F663:H663)</f>
        <v>13736.880000000001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1595281.1285178021</v>
      </c>
      <c r="G664" s="19">
        <f>G660-SUM(G661:G663)</f>
        <v>0</v>
      </c>
      <c r="H664" s="19">
        <f>H660-SUM(H661:H663)</f>
        <v>897259.38848219742</v>
      </c>
      <c r="I664" s="19">
        <f>I660-SUM(I661:I663)</f>
        <v>2492540.5169999995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58.21</v>
      </c>
      <c r="G665" s="248"/>
      <c r="H665" s="248">
        <v>43.22</v>
      </c>
      <c r="I665" s="19">
        <f>SUM(F665:H665)</f>
        <v>101.43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27405.62</v>
      </c>
      <c r="G667" s="19" t="e">
        <f>ROUND(G664/G665,2)</f>
        <v>#DIV/0!</v>
      </c>
      <c r="H667" s="19">
        <f>ROUND(H664/H665,2)</f>
        <v>20760.28</v>
      </c>
      <c r="I667" s="19">
        <f>ROUND(I664/I665,2)</f>
        <v>24574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27405.62</v>
      </c>
      <c r="G672" s="19" t="e">
        <f>ROUND((G664+G669)/(G665+G670),2)</f>
        <v>#DIV/0!</v>
      </c>
      <c r="H672" s="19">
        <f>ROUND((H664+H669)/(H665+H670),2)</f>
        <v>20760.28</v>
      </c>
      <c r="I672" s="19">
        <f>ROUND((I664+I669)/(I665+I670),2)</f>
        <v>24574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9" workbookViewId="0">
      <selection activeCell="C62" sqref="C6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Pittsburg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785515.24</v>
      </c>
      <c r="C9" s="229">
        <f>'DOE25'!G197+'DOE25'!G215+'DOE25'!G233+'DOE25'!G276+'DOE25'!G295+'DOE25'!G314</f>
        <v>455197.84</v>
      </c>
    </row>
    <row r="10" spans="1:3" x14ac:dyDescent="0.2">
      <c r="A10" t="s">
        <v>779</v>
      </c>
      <c r="B10" s="240">
        <f>458290.06+37457+263602.06+10221.12</f>
        <v>769570.24</v>
      </c>
      <c r="C10" s="240">
        <f>246808.51+1606+58314.37+107758.81+11136.15+1346+12378+15850-1246.9</f>
        <v>453950.94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15945</v>
      </c>
      <c r="C12" s="240">
        <v>1246.9000000000001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785515.24</v>
      </c>
      <c r="C13" s="231">
        <f>SUM(C10:C12)</f>
        <v>455197.84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116262.43000000002</v>
      </c>
      <c r="C18" s="229">
        <f>'DOE25'!G198+'DOE25'!G216+'DOE25'!G234+'DOE25'!G277+'DOE25'!G296+'DOE25'!G315</f>
        <v>47908.579999999987</v>
      </c>
    </row>
    <row r="19" spans="1:3" x14ac:dyDescent="0.2">
      <c r="A19" t="s">
        <v>779</v>
      </c>
      <c r="B19" s="240">
        <f>46818+2166.5+4000+36611.75+0.1</f>
        <v>89596.35</v>
      </c>
      <c r="C19" s="240">
        <f>19415.66+5506.2+6936.01+315+126-2085.29+4390.07+306.02+566.28+160+126+2076+2800.96+5184.38</f>
        <v>45823.289999999994</v>
      </c>
    </row>
    <row r="20" spans="1:3" x14ac:dyDescent="0.2">
      <c r="A20" t="s">
        <v>780</v>
      </c>
      <c r="B20" s="240">
        <v>26666.080000000002</v>
      </c>
      <c r="C20" s="240">
        <v>2085.29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116262.43000000001</v>
      </c>
      <c r="C22" s="231">
        <f>SUM(C19:C21)</f>
        <v>47908.579999999994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27092</v>
      </c>
      <c r="C36" s="235">
        <f>'DOE25'!G200+'DOE25'!G218+'DOE25'!G236+'DOE25'!G279+'DOE25'!G298+'DOE25'!G317</f>
        <v>3271.8399999999997</v>
      </c>
    </row>
    <row r="37" spans="1:3" x14ac:dyDescent="0.2">
      <c r="A37" t="s">
        <v>779</v>
      </c>
      <c r="B37" s="240">
        <v>3449</v>
      </c>
      <c r="C37" s="240">
        <f>263.86+449.79+19</f>
        <v>732.65000000000009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23025+618</f>
        <v>23643</v>
      </c>
      <c r="C39" s="240">
        <f>1808.68+617.51+113</f>
        <v>2539.19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27092</v>
      </c>
      <c r="C40" s="231">
        <f>SUM(C37:C39)</f>
        <v>3271.84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Pittsburg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1461927.84</v>
      </c>
      <c r="D5" s="20">
        <f>SUM('DOE25'!L197:L200)+SUM('DOE25'!L215:L218)+SUM('DOE25'!L233:L236)-F5-G5</f>
        <v>1456413.6600000001</v>
      </c>
      <c r="E5" s="243"/>
      <c r="F5" s="255">
        <f>SUM('DOE25'!J197:J200)+SUM('DOE25'!J215:J218)+SUM('DOE25'!J233:J236)</f>
        <v>598.67999999999995</v>
      </c>
      <c r="G5" s="53">
        <f>SUM('DOE25'!K197:K200)+SUM('DOE25'!K215:K218)+SUM('DOE25'!K233:K236)</f>
        <v>4915.5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178242.97999999998</v>
      </c>
      <c r="D6" s="20">
        <f>'DOE25'!L202+'DOE25'!L220+'DOE25'!L238-F6-G6</f>
        <v>167500.31999999998</v>
      </c>
      <c r="E6" s="243"/>
      <c r="F6" s="255">
        <f>'DOE25'!J202+'DOE25'!J220+'DOE25'!J238</f>
        <v>9549.2099999999991</v>
      </c>
      <c r="G6" s="53">
        <f>'DOE25'!K202+'DOE25'!K220+'DOE25'!K238</f>
        <v>1193.4499999999998</v>
      </c>
      <c r="H6" s="259"/>
    </row>
    <row r="7" spans="1:9" x14ac:dyDescent="0.2">
      <c r="A7" s="32">
        <v>2200</v>
      </c>
      <c r="B7" t="s">
        <v>834</v>
      </c>
      <c r="C7" s="245">
        <f t="shared" si="0"/>
        <v>87817.607000000004</v>
      </c>
      <c r="D7" s="20">
        <f>'DOE25'!L203+'DOE25'!L221+'DOE25'!L239-F7-G7</f>
        <v>83577.307000000001</v>
      </c>
      <c r="E7" s="243"/>
      <c r="F7" s="255">
        <f>'DOE25'!J203+'DOE25'!J221+'DOE25'!J239</f>
        <v>0</v>
      </c>
      <c r="G7" s="53">
        <f>'DOE25'!K203+'DOE25'!K221+'DOE25'!K239</f>
        <v>4240.3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121595.65999999999</v>
      </c>
      <c r="D8" s="243"/>
      <c r="E8" s="20">
        <f>'DOE25'!L204+'DOE25'!L222+'DOE25'!L240-F8-G8-D9-D11</f>
        <v>117621.26</v>
      </c>
      <c r="F8" s="255">
        <f>'DOE25'!J204+'DOE25'!J222+'DOE25'!J240</f>
        <v>0</v>
      </c>
      <c r="G8" s="53">
        <f>'DOE25'!K204+'DOE25'!K222+'DOE25'!K240</f>
        <v>3974.3999999999996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29867.32</v>
      </c>
      <c r="D9" s="244">
        <v>29867.32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6900</v>
      </c>
      <c r="D10" s="243"/>
      <c r="E10" s="244">
        <f>2898+828+414+1932+552+276</f>
        <v>6900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59670.45</v>
      </c>
      <c r="D11" s="244">
        <v>59670.45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156944.07999999999</v>
      </c>
      <c r="D12" s="20">
        <f>'DOE25'!L205+'DOE25'!L223+'DOE25'!L241-F12-G12</f>
        <v>153825.07999999999</v>
      </c>
      <c r="E12" s="243"/>
      <c r="F12" s="255">
        <f>'DOE25'!J205+'DOE25'!J223+'DOE25'!J241</f>
        <v>0</v>
      </c>
      <c r="G12" s="53">
        <f>'DOE25'!K205+'DOE25'!K223+'DOE25'!K241</f>
        <v>3119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279362.90000000002</v>
      </c>
      <c r="D14" s="20">
        <f>'DOE25'!L207+'DOE25'!L225+'DOE25'!L243-F14-G14</f>
        <v>278582.93000000005</v>
      </c>
      <c r="E14" s="243"/>
      <c r="F14" s="255">
        <f>'DOE25'!J207+'DOE25'!J225+'DOE25'!J243</f>
        <v>754.72</v>
      </c>
      <c r="G14" s="53">
        <f>'DOE25'!K207+'DOE25'!K225+'DOE25'!K243</f>
        <v>25.25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88427.79</v>
      </c>
      <c r="D15" s="20">
        <f>'DOE25'!L208+'DOE25'!L226+'DOE25'!L244-F15-G15</f>
        <v>87787.079999999987</v>
      </c>
      <c r="E15" s="243"/>
      <c r="F15" s="255">
        <f>'DOE25'!J208+'DOE25'!J226+'DOE25'!J244</f>
        <v>0</v>
      </c>
      <c r="G15" s="53">
        <f>'DOE25'!K208+'DOE25'!K226+'DOE25'!K244</f>
        <v>640.71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4625</v>
      </c>
      <c r="D16" s="243"/>
      <c r="E16" s="20">
        <f>'DOE25'!L209+'DOE25'!L227+'DOE25'!L245-F16-G16</f>
        <v>4625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210356.25</v>
      </c>
      <c r="D25" s="243"/>
      <c r="E25" s="243"/>
      <c r="F25" s="258"/>
      <c r="G25" s="256"/>
      <c r="H25" s="257">
        <f>'DOE25'!L260+'DOE25'!L261+'DOE25'!L341+'DOE25'!L342</f>
        <v>210356.25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55019.78</v>
      </c>
      <c r="D29" s="20">
        <f>'DOE25'!L358+'DOE25'!L359+'DOE25'!L360-'DOE25'!I367-F29-G29</f>
        <v>55019.78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90167.75999999998</v>
      </c>
      <c r="D31" s="20">
        <f>'DOE25'!L290+'DOE25'!L309+'DOE25'!L328+'DOE25'!L333+'DOE25'!L334+'DOE25'!L335-F31-G31</f>
        <v>77446.64999999998</v>
      </c>
      <c r="E31" s="243"/>
      <c r="F31" s="255">
        <f>'DOE25'!J290+'DOE25'!J309+'DOE25'!J328+'DOE25'!J333+'DOE25'!J334+'DOE25'!J335</f>
        <v>2834.27</v>
      </c>
      <c r="G31" s="53">
        <f>'DOE25'!K290+'DOE25'!K309+'DOE25'!K328+'DOE25'!K333+'DOE25'!K334+'DOE25'!K335</f>
        <v>9886.84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2449690.577</v>
      </c>
      <c r="E33" s="246">
        <f>SUM(E5:E31)</f>
        <v>129146.26</v>
      </c>
      <c r="F33" s="246">
        <f>SUM(F5:F31)</f>
        <v>13736.88</v>
      </c>
      <c r="G33" s="246">
        <f>SUM(G5:G31)</f>
        <v>27995.45</v>
      </c>
      <c r="H33" s="246">
        <f>SUM(H5:H31)</f>
        <v>210356.25</v>
      </c>
    </row>
    <row r="35" spans="2:8" ht="12" thickBot="1" x14ac:dyDescent="0.25">
      <c r="B35" s="253" t="s">
        <v>847</v>
      </c>
      <c r="D35" s="254">
        <f>E33</f>
        <v>129146.26</v>
      </c>
      <c r="E35" s="249"/>
    </row>
    <row r="36" spans="2:8" ht="12" thickTop="1" x14ac:dyDescent="0.2">
      <c r="B36" t="s">
        <v>815</v>
      </c>
      <c r="D36" s="20">
        <f>D33</f>
        <v>2449690.577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B1" sqref="B1:B104857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Pittsburg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231846.7</v>
      </c>
      <c r="D8" s="95">
        <f>'DOE25'!G9</f>
        <v>11494.99</v>
      </c>
      <c r="E8" s="95">
        <f>'DOE25'!H9</f>
        <v>0</v>
      </c>
      <c r="F8" s="95">
        <f>'DOE25'!I9</f>
        <v>0</v>
      </c>
      <c r="G8" s="95">
        <f>'DOE25'!J9</f>
        <v>538598.19999999995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42540.87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18765.25</v>
      </c>
      <c r="D12" s="95">
        <f>'DOE25'!G13</f>
        <v>1382.21</v>
      </c>
      <c r="E12" s="95">
        <f>'DOE25'!H13</f>
        <v>42940.87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38.25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1246.97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293152.82</v>
      </c>
      <c r="D18" s="41">
        <f>SUM(D8:D17)</f>
        <v>14162.42</v>
      </c>
      <c r="E18" s="41">
        <f>SUM(E8:E17)</f>
        <v>42940.87</v>
      </c>
      <c r="F18" s="41">
        <f>SUM(F8:F17)</f>
        <v>0</v>
      </c>
      <c r="G18" s="41">
        <f>SUM(G8:G17)</f>
        <v>538598.19999999995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42540.87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17195.98</v>
      </c>
      <c r="D23" s="95">
        <f>'DOE25'!G24</f>
        <v>481.83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5633.72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9589.68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3271.73</v>
      </c>
      <c r="D29" s="95">
        <f>'DOE25'!G30</f>
        <v>0</v>
      </c>
      <c r="E29" s="95">
        <f>'DOE25'!H30</f>
        <v>400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35691.11</v>
      </c>
      <c r="D31" s="41">
        <f>SUM(D21:D30)</f>
        <v>481.83</v>
      </c>
      <c r="E31" s="41">
        <f>SUM(E21:E30)</f>
        <v>42940.87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1246.97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12433.619999999995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538598.19999999995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4000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253461.70999999996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257461.70999999996</v>
      </c>
      <c r="D50" s="41">
        <f>SUM(D34:D49)</f>
        <v>13680.589999999995</v>
      </c>
      <c r="E50" s="41">
        <f>SUM(E34:E49)</f>
        <v>0</v>
      </c>
      <c r="F50" s="41">
        <f>SUM(F34:F49)</f>
        <v>0</v>
      </c>
      <c r="G50" s="41">
        <f>SUM(G34:G49)</f>
        <v>538598.19999999995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293152.81999999995</v>
      </c>
      <c r="D51" s="41">
        <f>D50+D31</f>
        <v>14162.419999999995</v>
      </c>
      <c r="E51" s="41">
        <f>E50+E31</f>
        <v>42940.87</v>
      </c>
      <c r="F51" s="41">
        <f>F50+F31</f>
        <v>0</v>
      </c>
      <c r="G51" s="41">
        <f>G50+G31</f>
        <v>538598.19999999995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1551935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343208.22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132.41999999999999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130.03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19282.98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117963.65</v>
      </c>
      <c r="D61" s="95">
        <f>SUM('DOE25'!G98:G110)</f>
        <v>0</v>
      </c>
      <c r="E61" s="95">
        <f>SUM('DOE25'!H98:H110)</f>
        <v>2834.27</v>
      </c>
      <c r="F61" s="95">
        <f>SUM('DOE25'!I98:I110)</f>
        <v>0</v>
      </c>
      <c r="G61" s="95">
        <f>SUM('DOE25'!J98:J110)</f>
        <v>230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461304.28999999992</v>
      </c>
      <c r="D62" s="130">
        <f>SUM(D57:D61)</f>
        <v>19282.98</v>
      </c>
      <c r="E62" s="130">
        <f>SUM(E57:E61)</f>
        <v>2834.27</v>
      </c>
      <c r="F62" s="130">
        <f>SUM(F57:F61)</f>
        <v>0</v>
      </c>
      <c r="G62" s="130">
        <f>SUM(G57:G61)</f>
        <v>360.03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2013239.29</v>
      </c>
      <c r="D63" s="22">
        <f>D56+D62</f>
        <v>19282.98</v>
      </c>
      <c r="E63" s="22">
        <f>E56+E62</f>
        <v>2834.27</v>
      </c>
      <c r="F63" s="22">
        <f>F56+F62</f>
        <v>0</v>
      </c>
      <c r="G63" s="22">
        <f>G56+G62</f>
        <v>360.03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35370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633411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668781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77417.919999999998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758.56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77417.919999999998</v>
      </c>
      <c r="D78" s="130">
        <f>SUM(D72:D77)</f>
        <v>758.56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746198.92</v>
      </c>
      <c r="D81" s="130">
        <f>SUM(D79:D80)+D78+D70</f>
        <v>758.56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17594.79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844.1</v>
      </c>
      <c r="D88" s="95">
        <f>SUM('DOE25'!G153:G161)</f>
        <v>25441.68</v>
      </c>
      <c r="E88" s="95">
        <f>SUM('DOE25'!H153:H161)</f>
        <v>69738.7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844.1</v>
      </c>
      <c r="D91" s="131">
        <f>SUM(D85:D90)</f>
        <v>25441.68</v>
      </c>
      <c r="E91" s="131">
        <f>SUM(E85:E90)</f>
        <v>87333.489999999991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11000</v>
      </c>
      <c r="E96" s="95">
        <f>'DOE25'!H179</f>
        <v>0</v>
      </c>
      <c r="F96" s="95">
        <f>'DOE25'!I179</f>
        <v>0</v>
      </c>
      <c r="G96" s="95">
        <f>'DOE25'!J179</f>
        <v>40000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11000</v>
      </c>
      <c r="E103" s="86">
        <f>SUM(E93:E102)</f>
        <v>0</v>
      </c>
      <c r="F103" s="86">
        <f>SUM(F93:F102)</f>
        <v>0</v>
      </c>
      <c r="G103" s="86">
        <f>SUM(G93:G102)</f>
        <v>40000</v>
      </c>
    </row>
    <row r="104" spans="1:7" ht="12.75" thickTop="1" thickBot="1" x14ac:dyDescent="0.25">
      <c r="A104" s="33" t="s">
        <v>765</v>
      </c>
      <c r="C104" s="86">
        <f>C63+C81+C91+C103</f>
        <v>2760282.31</v>
      </c>
      <c r="D104" s="86">
        <f>D63+D81+D91+D103</f>
        <v>56483.22</v>
      </c>
      <c r="E104" s="86">
        <f>E63+E81+E91+E103</f>
        <v>90167.76</v>
      </c>
      <c r="F104" s="86">
        <f>F63+F81+F91+F103</f>
        <v>0</v>
      </c>
      <c r="G104" s="86">
        <f>G63+G81+G103</f>
        <v>40360.03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1287407.21</v>
      </c>
      <c r="D109" s="24" t="s">
        <v>289</v>
      </c>
      <c r="E109" s="95">
        <f>('DOE25'!L276)+('DOE25'!L295)+('DOE25'!L314)</f>
        <v>2959.95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118384.76000000001</v>
      </c>
      <c r="D110" s="24" t="s">
        <v>289</v>
      </c>
      <c r="E110" s="95">
        <f>('DOE25'!L277)+('DOE25'!L296)+('DOE25'!L315)</f>
        <v>46673.09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56135.87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1461927.84</v>
      </c>
      <c r="D115" s="86">
        <f>SUM(D109:D114)</f>
        <v>0</v>
      </c>
      <c r="E115" s="86">
        <f>SUM(E109:E114)</f>
        <v>49633.039999999994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178242.97999999998</v>
      </c>
      <c r="D118" s="24" t="s">
        <v>289</v>
      </c>
      <c r="E118" s="95">
        <f>+('DOE25'!L281)+('DOE25'!L300)+('DOE25'!L319)</f>
        <v>12387.84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87817.607000000004</v>
      </c>
      <c r="D119" s="24" t="s">
        <v>289</v>
      </c>
      <c r="E119" s="95">
        <f>+('DOE25'!L282)+('DOE25'!L301)+('DOE25'!L320)</f>
        <v>26546.880000000005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211133.43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156944.07999999999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1600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279362.90000000002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88427.79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4625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55338.78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1006553.787</v>
      </c>
      <c r="D128" s="86">
        <f>SUM(D118:D127)</f>
        <v>55338.78</v>
      </c>
      <c r="E128" s="86">
        <f>SUM(E118:E127)</f>
        <v>40534.720000000001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15356.25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11000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40360.03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-360.02999999999884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261356.25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2729837.8770000003</v>
      </c>
      <c r="D145" s="86">
        <f>(D115+D128+D144)</f>
        <v>55338.78</v>
      </c>
      <c r="E145" s="86">
        <f>(E115+E128+E144)</f>
        <v>90167.76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July 1999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August 2014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3010000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390000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390000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195000</v>
      </c>
    </row>
    <row r="159" spans="1:9" x14ac:dyDescent="0.2">
      <c r="A159" s="22" t="s">
        <v>35</v>
      </c>
      <c r="B159" s="137">
        <f>'DOE25'!F498</f>
        <v>195000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195000</v>
      </c>
    </row>
    <row r="160" spans="1:9" x14ac:dyDescent="0.2">
      <c r="A160" s="22" t="s">
        <v>36</v>
      </c>
      <c r="B160" s="137">
        <f>'DOE25'!F499</f>
        <v>5118.75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5118.75</v>
      </c>
    </row>
    <row r="161" spans="1:7" x14ac:dyDescent="0.2">
      <c r="A161" s="22" t="s">
        <v>37</v>
      </c>
      <c r="B161" s="137">
        <f>'DOE25'!F500</f>
        <v>200118.75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200118.75</v>
      </c>
    </row>
    <row r="162" spans="1:7" x14ac:dyDescent="0.2">
      <c r="A162" s="22" t="s">
        <v>38</v>
      </c>
      <c r="B162" s="137">
        <f>'DOE25'!F501</f>
        <v>195000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195000</v>
      </c>
    </row>
    <row r="163" spans="1:7" x14ac:dyDescent="0.2">
      <c r="A163" s="22" t="s">
        <v>39</v>
      </c>
      <c r="B163" s="137">
        <f>'DOE25'!F502</f>
        <v>5118.75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5118.75</v>
      </c>
    </row>
    <row r="164" spans="1:7" x14ac:dyDescent="0.2">
      <c r="A164" s="22" t="s">
        <v>246</v>
      </c>
      <c r="B164" s="137">
        <f>'DOE25'!F503</f>
        <v>200118.75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200118.75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Pittsburg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27406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20760</v>
      </c>
    </row>
    <row r="7" spans="1:4" x14ac:dyDescent="0.2">
      <c r="B7" t="s">
        <v>705</v>
      </c>
      <c r="C7" s="179">
        <f>IF('DOE25'!I665+'DOE25'!I670=0,0,ROUND('DOE25'!I672,0))</f>
        <v>24574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1290367</v>
      </c>
      <c r="D10" s="182">
        <f>ROUND((C10/$C$28)*100,1)</f>
        <v>49.4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165058</v>
      </c>
      <c r="D11" s="182">
        <f>ROUND((C11/$C$28)*100,1)</f>
        <v>6.3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56136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190631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114364</v>
      </c>
      <c r="D16" s="182">
        <f t="shared" si="0"/>
        <v>4.4000000000000004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215758</v>
      </c>
      <c r="D17" s="182">
        <f t="shared" si="0"/>
        <v>8.3000000000000007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156944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1600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279363</v>
      </c>
      <c r="D20" s="182">
        <f t="shared" si="0"/>
        <v>10.7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88428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15356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36056.020000000004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2610061.02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2610061.02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1551935</v>
      </c>
      <c r="D35" s="182">
        <f t="shared" ref="D35:D40" si="1">ROUND((C35/$C$41)*100,1)</f>
        <v>53.9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464498.59000000008</v>
      </c>
      <c r="D36" s="182">
        <f t="shared" si="1"/>
        <v>16.100000000000001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668781</v>
      </c>
      <c r="D37" s="182">
        <f t="shared" si="1"/>
        <v>23.2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78176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113619</v>
      </c>
      <c r="D39" s="182">
        <f t="shared" si="1"/>
        <v>3.9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2877009.59</v>
      </c>
      <c r="D41" s="184">
        <f>SUM(D35:D40)</f>
        <v>99.800000000000011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8" sqref="C8:M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Pittsburg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23</v>
      </c>
      <c r="C4" s="284" t="s">
        <v>914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3</v>
      </c>
      <c r="B5" s="219">
        <v>23</v>
      </c>
      <c r="C5" s="284" t="s">
        <v>915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3</v>
      </c>
      <c r="B6" s="219">
        <v>24</v>
      </c>
      <c r="C6" s="284" t="s">
        <v>916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2014-09-02T12:24:20Z</cp:lastPrinted>
  <dcterms:created xsi:type="dcterms:W3CDTF">1997-12-04T19:04:30Z</dcterms:created>
  <dcterms:modified xsi:type="dcterms:W3CDTF">2014-09-10T14:13:31Z</dcterms:modified>
</cp:coreProperties>
</file>