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0" yWindow="0" windowWidth="19200" windowHeight="1054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472" i="1" l="1"/>
  <c r="G472" i="1"/>
  <c r="I468" i="1"/>
  <c r="H468" i="1"/>
  <c r="G468" i="1"/>
  <c r="F468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22" i="2" s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C109" i="2" s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C119" i="2" s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E122" i="2" s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C25" i="10" s="1"/>
  <c r="L341" i="1"/>
  <c r="L342" i="1"/>
  <c r="L255" i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A13" i="12" s="1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D56" i="2" s="1"/>
  <c r="H60" i="1"/>
  <c r="I60" i="1"/>
  <c r="F79" i="1"/>
  <c r="C57" i="2" s="1"/>
  <c r="F94" i="1"/>
  <c r="F111" i="1"/>
  <c r="G111" i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40" i="1" s="1"/>
  <c r="J136" i="1"/>
  <c r="F147" i="1"/>
  <c r="F162" i="1"/>
  <c r="F169" i="1" s="1"/>
  <c r="G147" i="1"/>
  <c r="D85" i="2" s="1"/>
  <c r="G162" i="1"/>
  <c r="H147" i="1"/>
  <c r="H162" i="1"/>
  <c r="H169" i="1" s="1"/>
  <c r="I147" i="1"/>
  <c r="I169" i="1" s="1"/>
  <c r="I162" i="1"/>
  <c r="L250" i="1"/>
  <c r="L332" i="1"/>
  <c r="L254" i="1"/>
  <c r="L268" i="1"/>
  <c r="L269" i="1"/>
  <c r="L349" i="1"/>
  <c r="C26" i="10" s="1"/>
  <c r="L350" i="1"/>
  <c r="E143" i="2" s="1"/>
  <c r="I665" i="1"/>
  <c r="I670" i="1"/>
  <c r="H662" i="1"/>
  <c r="I669" i="1"/>
  <c r="C42" i="10"/>
  <c r="L374" i="1"/>
  <c r="L375" i="1"/>
  <c r="L376" i="1"/>
  <c r="L377" i="1"/>
  <c r="L378" i="1"/>
  <c r="L379" i="1"/>
  <c r="F130" i="2" s="1"/>
  <c r="L380" i="1"/>
  <c r="B2" i="10"/>
  <c r="L344" i="1"/>
  <c r="E134" i="2" s="1"/>
  <c r="L345" i="1"/>
  <c r="E135" i="2" s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H552" i="1" s="1"/>
  <c r="L536" i="1"/>
  <c r="I549" i="1" s="1"/>
  <c r="L537" i="1"/>
  <c r="I550" i="1" s="1"/>
  <c r="I552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L270" i="1" s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E56" i="2"/>
  <c r="F56" i="2"/>
  <c r="C58" i="2"/>
  <c r="E58" i="2"/>
  <c r="C59" i="2"/>
  <c r="D59" i="2"/>
  <c r="D62" i="2" s="1"/>
  <c r="E59" i="2"/>
  <c r="F59" i="2"/>
  <c r="D60" i="2"/>
  <c r="C61" i="2"/>
  <c r="D61" i="2"/>
  <c r="E61" i="2"/>
  <c r="F61" i="2"/>
  <c r="C66" i="2"/>
  <c r="C70" i="2" s="1"/>
  <c r="C67" i="2"/>
  <c r="C69" i="2"/>
  <c r="D69" i="2"/>
  <c r="D70" i="2" s="1"/>
  <c r="E69" i="2"/>
  <c r="E70" i="2" s="1"/>
  <c r="F69" i="2"/>
  <c r="F70" i="2" s="1"/>
  <c r="G69" i="2"/>
  <c r="G70" i="2" s="1"/>
  <c r="C72" i="2"/>
  <c r="C78" i="2" s="1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E112" i="2"/>
  <c r="C113" i="2"/>
  <c r="E113" i="2"/>
  <c r="C114" i="2"/>
  <c r="E114" i="2"/>
  <c r="D115" i="2"/>
  <c r="F115" i="2"/>
  <c r="G115" i="2"/>
  <c r="E119" i="2"/>
  <c r="E120" i="2"/>
  <c r="E121" i="2"/>
  <c r="E123" i="2"/>
  <c r="C125" i="2"/>
  <c r="E125" i="2"/>
  <c r="F128" i="2"/>
  <c r="G128" i="2"/>
  <c r="C130" i="2"/>
  <c r="D134" i="2"/>
  <c r="D144" i="2" s="1"/>
  <c r="F134" i="2"/>
  <c r="K419" i="1"/>
  <c r="K427" i="1"/>
  <c r="K433" i="1"/>
  <c r="L263" i="1"/>
  <c r="C135" i="2" s="1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G620" i="1" s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F192" i="1" s="1"/>
  <c r="G183" i="1"/>
  <c r="G192" i="1" s="1"/>
  <c r="H183" i="1"/>
  <c r="H192" i="1" s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L256" i="1" s="1"/>
  <c r="I256" i="1"/>
  <c r="J256" i="1"/>
  <c r="K256" i="1"/>
  <c r="F290" i="1"/>
  <c r="G290" i="1"/>
  <c r="H290" i="1"/>
  <c r="I290" i="1"/>
  <c r="F309" i="1"/>
  <c r="G309" i="1"/>
  <c r="H309" i="1"/>
  <c r="I309" i="1"/>
  <c r="F328" i="1"/>
  <c r="F338" i="1" s="1"/>
  <c r="F352" i="1" s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F452" i="1"/>
  <c r="G452" i="1"/>
  <c r="H452" i="1"/>
  <c r="I452" i="1"/>
  <c r="F460" i="1"/>
  <c r="F461" i="1" s="1"/>
  <c r="H639" i="1" s="1"/>
  <c r="G460" i="1"/>
  <c r="G461" i="1" s="1"/>
  <c r="H640" i="1" s="1"/>
  <c r="H460" i="1"/>
  <c r="H461" i="1"/>
  <c r="H641" i="1" s="1"/>
  <c r="F470" i="1"/>
  <c r="G470" i="1"/>
  <c r="H470" i="1"/>
  <c r="I470" i="1"/>
  <c r="G474" i="1"/>
  <c r="H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J545" i="1" s="1"/>
  <c r="K524" i="1"/>
  <c r="K545" i="1" s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5" i="1" s="1"/>
  <c r="L563" i="1"/>
  <c r="L564" i="1"/>
  <c r="F565" i="1"/>
  <c r="G565" i="1"/>
  <c r="H565" i="1"/>
  <c r="I565" i="1"/>
  <c r="J565" i="1"/>
  <c r="K565" i="1"/>
  <c r="L567" i="1"/>
  <c r="L568" i="1"/>
  <c r="L569" i="1"/>
  <c r="F570" i="1"/>
  <c r="F571" i="1" s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9" i="1"/>
  <c r="G622" i="1"/>
  <c r="G623" i="1"/>
  <c r="G624" i="1"/>
  <c r="H627" i="1"/>
  <c r="H628" i="1"/>
  <c r="H629" i="1"/>
  <c r="H630" i="1"/>
  <c r="H633" i="1"/>
  <c r="H635" i="1"/>
  <c r="G641" i="1"/>
  <c r="G643" i="1"/>
  <c r="J643" i="1" s="1"/>
  <c r="H643" i="1"/>
  <c r="G644" i="1"/>
  <c r="G650" i="1"/>
  <c r="G651" i="1"/>
  <c r="G652" i="1"/>
  <c r="H652" i="1"/>
  <c r="G653" i="1"/>
  <c r="H653" i="1"/>
  <c r="G654" i="1"/>
  <c r="H654" i="1"/>
  <c r="H655" i="1"/>
  <c r="L351" i="1"/>
  <c r="A31" i="12"/>
  <c r="D18" i="13"/>
  <c r="C18" i="13" s="1"/>
  <c r="D17" i="13"/>
  <c r="C17" i="13" s="1"/>
  <c r="C91" i="2"/>
  <c r="F78" i="2"/>
  <c r="F81" i="2" s="1"/>
  <c r="D19" i="13"/>
  <c r="C19" i="13" s="1"/>
  <c r="E78" i="2"/>
  <c r="E81" i="2" s="1"/>
  <c r="H112" i="1"/>
  <c r="J571" i="1"/>
  <c r="L419" i="1"/>
  <c r="D81" i="2"/>
  <c r="H476" i="1"/>
  <c r="H624" i="1" s="1"/>
  <c r="J624" i="1" s="1"/>
  <c r="G22" i="2"/>
  <c r="J552" i="1"/>
  <c r="H140" i="1"/>
  <c r="L401" i="1"/>
  <c r="C139" i="2" s="1"/>
  <c r="F22" i="13"/>
  <c r="C22" i="13" s="1"/>
  <c r="H571" i="1"/>
  <c r="E16" i="13"/>
  <c r="L570" i="1"/>
  <c r="I571" i="1"/>
  <c r="J645" i="1" l="1"/>
  <c r="G645" i="1"/>
  <c r="G552" i="1"/>
  <c r="L529" i="1"/>
  <c r="K551" i="1"/>
  <c r="K550" i="1"/>
  <c r="I545" i="1"/>
  <c r="G545" i="1"/>
  <c r="H545" i="1"/>
  <c r="F552" i="1"/>
  <c r="K549" i="1"/>
  <c r="G62" i="2"/>
  <c r="G63" i="2" s="1"/>
  <c r="J640" i="1"/>
  <c r="J639" i="1"/>
  <c r="J641" i="1"/>
  <c r="I460" i="1"/>
  <c r="I461" i="1" s="1"/>
  <c r="H642" i="1" s="1"/>
  <c r="I408" i="1"/>
  <c r="D18" i="2"/>
  <c r="D31" i="2"/>
  <c r="H52" i="1"/>
  <c r="H619" i="1" s="1"/>
  <c r="J619" i="1" s="1"/>
  <c r="C18" i="2"/>
  <c r="J617" i="1"/>
  <c r="I369" i="1"/>
  <c r="H634" i="1" s="1"/>
  <c r="J634" i="1" s="1"/>
  <c r="H408" i="1"/>
  <c r="H644" i="1" s="1"/>
  <c r="J644" i="1" s="1"/>
  <c r="L393" i="1"/>
  <c r="C138" i="2" s="1"/>
  <c r="L427" i="1"/>
  <c r="I446" i="1"/>
  <c r="G642" i="1" s="1"/>
  <c r="G476" i="1"/>
  <c r="H623" i="1" s="1"/>
  <c r="J623" i="1" s="1"/>
  <c r="K500" i="1"/>
  <c r="J651" i="1"/>
  <c r="K598" i="1"/>
  <c r="G647" i="1" s="1"/>
  <c r="E124" i="2"/>
  <c r="G662" i="1"/>
  <c r="C12" i="10"/>
  <c r="H25" i="13"/>
  <c r="C25" i="13" s="1"/>
  <c r="C132" i="2"/>
  <c r="C21" i="10"/>
  <c r="C29" i="10"/>
  <c r="J655" i="1"/>
  <c r="C112" i="2"/>
  <c r="D127" i="2"/>
  <c r="D128" i="2" s="1"/>
  <c r="G661" i="1"/>
  <c r="L362" i="1"/>
  <c r="G635" i="1" s="1"/>
  <c r="J635" i="1" s="1"/>
  <c r="H661" i="1"/>
  <c r="D29" i="13"/>
  <c r="C29" i="13" s="1"/>
  <c r="F112" i="1"/>
  <c r="C32" i="10"/>
  <c r="C11" i="10"/>
  <c r="H647" i="1"/>
  <c r="J257" i="1"/>
  <c r="J271" i="1" s="1"/>
  <c r="C20" i="10"/>
  <c r="L328" i="1"/>
  <c r="L309" i="1"/>
  <c r="E118" i="2"/>
  <c r="E128" i="2" s="1"/>
  <c r="A40" i="12"/>
  <c r="C17" i="10"/>
  <c r="I257" i="1"/>
  <c r="I271" i="1" s="1"/>
  <c r="C16" i="10"/>
  <c r="D7" i="13"/>
  <c r="C7" i="13" s="1"/>
  <c r="D91" i="2"/>
  <c r="C110" i="2"/>
  <c r="F257" i="1"/>
  <c r="F271" i="1" s="1"/>
  <c r="K257" i="1"/>
  <c r="K271" i="1" s="1"/>
  <c r="C118" i="2"/>
  <c r="C123" i="2"/>
  <c r="D14" i="13"/>
  <c r="C14" i="13" s="1"/>
  <c r="D5" i="13"/>
  <c r="C5" i="13" s="1"/>
  <c r="H338" i="1"/>
  <c r="H352" i="1" s="1"/>
  <c r="H257" i="1"/>
  <c r="H271" i="1" s="1"/>
  <c r="D12" i="13"/>
  <c r="C12" i="13" s="1"/>
  <c r="L229" i="1"/>
  <c r="G338" i="1"/>
  <c r="G352" i="1" s="1"/>
  <c r="C13" i="10"/>
  <c r="E62" i="2"/>
  <c r="E63" i="2" s="1"/>
  <c r="C121" i="2"/>
  <c r="C18" i="10"/>
  <c r="L211" i="1"/>
  <c r="L247" i="1"/>
  <c r="C120" i="2"/>
  <c r="G257" i="1"/>
  <c r="G271" i="1" s="1"/>
  <c r="C10" i="10"/>
  <c r="C16" i="13"/>
  <c r="D63" i="2"/>
  <c r="C81" i="2"/>
  <c r="D145" i="2"/>
  <c r="E13" i="13"/>
  <c r="C13" i="13" s="1"/>
  <c r="E8" i="13"/>
  <c r="C8" i="13" s="1"/>
  <c r="L290" i="1"/>
  <c r="L539" i="1"/>
  <c r="K503" i="1"/>
  <c r="L382" i="1"/>
  <c r="K338" i="1"/>
  <c r="K352" i="1" s="1"/>
  <c r="E109" i="2"/>
  <c r="E115" i="2" s="1"/>
  <c r="G81" i="2"/>
  <c r="C62" i="2"/>
  <c r="C63" i="2" s="1"/>
  <c r="F661" i="1"/>
  <c r="I661" i="1" s="1"/>
  <c r="C19" i="10"/>
  <c r="C15" i="10"/>
  <c r="G112" i="1"/>
  <c r="C35" i="10"/>
  <c r="D6" i="13"/>
  <c r="C6" i="13" s="1"/>
  <c r="D15" i="13"/>
  <c r="C15" i="13" s="1"/>
  <c r="G649" i="1"/>
  <c r="J649" i="1" s="1"/>
  <c r="L544" i="1"/>
  <c r="L524" i="1"/>
  <c r="J338" i="1"/>
  <c r="J352" i="1" s="1"/>
  <c r="C124" i="2"/>
  <c r="C111" i="2"/>
  <c r="F662" i="1"/>
  <c r="I662" i="1" s="1"/>
  <c r="G625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L571" i="1"/>
  <c r="I192" i="1"/>
  <c r="E91" i="2"/>
  <c r="E104" i="2" s="1"/>
  <c r="L408" i="1"/>
  <c r="G637" i="1" s="1"/>
  <c r="D51" i="2"/>
  <c r="J654" i="1"/>
  <c r="J653" i="1"/>
  <c r="F144" i="2"/>
  <c r="F145" i="2" s="1"/>
  <c r="G21" i="2"/>
  <c r="G31" i="2" s="1"/>
  <c r="J32" i="1"/>
  <c r="L434" i="1"/>
  <c r="J434" i="1"/>
  <c r="F434" i="1"/>
  <c r="K434" i="1"/>
  <c r="G134" i="2" s="1"/>
  <c r="G144" i="2" s="1"/>
  <c r="G145" i="2" s="1"/>
  <c r="F31" i="13"/>
  <c r="J193" i="1"/>
  <c r="H193" i="1"/>
  <c r="G629" i="1" s="1"/>
  <c r="J629" i="1" s="1"/>
  <c r="G169" i="1"/>
  <c r="C39" i="10" s="1"/>
  <c r="G140" i="1"/>
  <c r="F140" i="1"/>
  <c r="J618" i="1"/>
  <c r="G42" i="2"/>
  <c r="G50" i="2" s="1"/>
  <c r="G51" i="2" s="1"/>
  <c r="J51" i="1"/>
  <c r="G16" i="2"/>
  <c r="J19" i="1"/>
  <c r="G621" i="1" s="1"/>
  <c r="F33" i="13"/>
  <c r="G18" i="2"/>
  <c r="F545" i="1"/>
  <c r="H434" i="1"/>
  <c r="J620" i="1"/>
  <c r="D103" i="2"/>
  <c r="I140" i="1"/>
  <c r="I193" i="1" s="1"/>
  <c r="G630" i="1" s="1"/>
  <c r="J630" i="1" s="1"/>
  <c r="A22" i="12"/>
  <c r="J652" i="1"/>
  <c r="G571" i="1"/>
  <c r="I434" i="1"/>
  <c r="G434" i="1"/>
  <c r="I663" i="1"/>
  <c r="C27" i="10"/>
  <c r="G636" i="1" l="1"/>
  <c r="I472" i="1"/>
  <c r="K552" i="1"/>
  <c r="G104" i="2"/>
  <c r="J642" i="1"/>
  <c r="G646" i="1"/>
  <c r="J468" i="1"/>
  <c r="H646" i="1"/>
  <c r="C141" i="2"/>
  <c r="C144" i="2" s="1"/>
  <c r="G638" i="1"/>
  <c r="J472" i="1"/>
  <c r="J647" i="1"/>
  <c r="C36" i="10"/>
  <c r="F104" i="2"/>
  <c r="F193" i="1"/>
  <c r="G627" i="1" s="1"/>
  <c r="J627" i="1" s="1"/>
  <c r="D104" i="2"/>
  <c r="H33" i="13"/>
  <c r="H648" i="1"/>
  <c r="J648" i="1" s="1"/>
  <c r="C104" i="2"/>
  <c r="G660" i="1"/>
  <c r="G664" i="1" s="1"/>
  <c r="G672" i="1" s="1"/>
  <c r="C5" i="10" s="1"/>
  <c r="C115" i="2"/>
  <c r="F660" i="1"/>
  <c r="F664" i="1" s="1"/>
  <c r="E145" i="2"/>
  <c r="C128" i="2"/>
  <c r="L257" i="1"/>
  <c r="L271" i="1" s="1"/>
  <c r="H660" i="1"/>
  <c r="H664" i="1" s="1"/>
  <c r="H672" i="1" s="1"/>
  <c r="C6" i="10" s="1"/>
  <c r="E33" i="13"/>
  <c r="D35" i="13" s="1"/>
  <c r="C28" i="10"/>
  <c r="D22" i="10" s="1"/>
  <c r="D31" i="13"/>
  <c r="C31" i="13" s="1"/>
  <c r="L545" i="1"/>
  <c r="L338" i="1"/>
  <c r="L352" i="1" s="1"/>
  <c r="G633" i="1" s="1"/>
  <c r="J633" i="1" s="1"/>
  <c r="C51" i="2"/>
  <c r="G631" i="1"/>
  <c r="G193" i="1"/>
  <c r="G628" i="1" s="1"/>
  <c r="J628" i="1" s="1"/>
  <c r="G626" i="1"/>
  <c r="J52" i="1"/>
  <c r="H621" i="1" s="1"/>
  <c r="J621" i="1" s="1"/>
  <c r="C38" i="10"/>
  <c r="I474" i="1" l="1"/>
  <c r="I476" i="1" s="1"/>
  <c r="H625" i="1" s="1"/>
  <c r="J625" i="1" s="1"/>
  <c r="H636" i="1"/>
  <c r="J636" i="1"/>
  <c r="G632" i="1"/>
  <c r="F472" i="1"/>
  <c r="J646" i="1"/>
  <c r="J470" i="1"/>
  <c r="H637" i="1"/>
  <c r="J637" i="1" s="1"/>
  <c r="H631" i="1"/>
  <c r="J631" i="1" s="1"/>
  <c r="J474" i="1"/>
  <c r="H638" i="1"/>
  <c r="J638" i="1"/>
  <c r="G667" i="1"/>
  <c r="C145" i="2"/>
  <c r="H667" i="1"/>
  <c r="I660" i="1"/>
  <c r="I664" i="1" s="1"/>
  <c r="I672" i="1" s="1"/>
  <c r="C7" i="10" s="1"/>
  <c r="D17" i="10"/>
  <c r="D27" i="10"/>
  <c r="D24" i="10"/>
  <c r="D16" i="10"/>
  <c r="D26" i="10"/>
  <c r="D10" i="10"/>
  <c r="C30" i="10"/>
  <c r="D23" i="10"/>
  <c r="D18" i="10"/>
  <c r="D12" i="10"/>
  <c r="F672" i="1"/>
  <c r="C4" i="10" s="1"/>
  <c r="F667" i="1"/>
  <c r="D20" i="10"/>
  <c r="D15" i="10"/>
  <c r="D25" i="10"/>
  <c r="D19" i="10"/>
  <c r="D13" i="10"/>
  <c r="D11" i="10"/>
  <c r="D21" i="10"/>
  <c r="D33" i="13"/>
  <c r="D36" i="13" s="1"/>
  <c r="C41" i="10"/>
  <c r="D38" i="10" s="1"/>
  <c r="H632" i="1" l="1"/>
  <c r="J632" i="1" s="1"/>
  <c r="F474" i="1"/>
  <c r="F476" i="1" s="1"/>
  <c r="H622" i="1" s="1"/>
  <c r="J622" i="1" s="1"/>
  <c r="J476" i="1"/>
  <c r="H626" i="1" s="1"/>
  <c r="J626" i="1" s="1"/>
  <c r="I667" i="1"/>
  <c r="D28" i="10"/>
  <c r="D37" i="10"/>
  <c r="D36" i="10"/>
  <c r="D35" i="10"/>
  <c r="D40" i="10"/>
  <c r="D39" i="10"/>
  <c r="H656" i="1" l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<sst xmlns="http://schemas.openxmlformats.org/spreadsheetml/2006/main" count="3959" uniqueCount="916">
  <si>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</si>
  <si>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</si>
  <si>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</si>
  <si>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</si>
  <si>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</si>
  <si>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</si>
  <si>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</si>
  <si>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</si>
  <si>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</si>
  <si>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</si>
  <si>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</si>
  <si>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</si>
  <si>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</si>
  <si>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</si>
  <si>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</si>
  <si>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</si>
  <si>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</si>
  <si>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</si>
  <si>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</si>
  <si>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</si>
  <si>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</si>
  <si>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</si>
  <si>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</si>
  <si>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</si>
  <si>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</si>
  <si>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</si>
  <si>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</si>
  <si>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</si>
  <si>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</si>
  <si>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</si>
  <si>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</si>
  <si>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</si>
  <si>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</si>
  <si>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</si>
  <si>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</si>
  <si>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</si>
  <si>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</si>
  <si>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</si>
  <si>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</si>
  <si>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</si>
  <si>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</si>
  <si>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</si>
  <si>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</si>
  <si>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</si>
  <si>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</si>
  <si>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</si>
  <si>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</si>
  <si>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</si>
  <si>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</si>
  <si>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</si>
  <si>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</si>
  <si>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</si>
  <si>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</si>
  <si>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</si>
  <si>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</si>
  <si>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</si>
  <si>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</si>
  <si>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</si>
  <si>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</si>
  <si>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</si>
  <si>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</si>
  <si>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</si>
  <si>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</si>
  <si>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</si>
  <si>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</si>
  <si>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</si>
  <si>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</si>
  <si>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</si>
  <si>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</si>
  <si>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</si>
  <si>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</si>
  <si>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</si>
  <si>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</si>
  <si>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</si>
  <si>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</si>
  <si>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</si>
  <si>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</si>
  <si>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</si>
  <si>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</si>
  <si>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</si>
  <si>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</si>
  <si>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</si>
  <si>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</si>
  <si>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</si>
  <si>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</si>
  <si>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</si>
  <si>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</si>
  <si>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</si>
  <si>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</si>
  <si>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</si>
  <si>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</si>
  <si>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</si>
  <si>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</si>
  <si>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</si>
  <si>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</si>
  <si>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</si>
  <si>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</si>
  <si>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</si>
  <si>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</si>
  <si>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</si>
  <si>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</si>
  <si>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</si>
  <si>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</si>
  <si>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</si>
  <si>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</si>
  <si>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</si>
  <si>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</si>
  <si>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</si>
  <si>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</si>
  <si>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</si>
  <si>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</si>
  <si>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</si>
  <si>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</si>
  <si>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</si>
  <si>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</si>
  <si>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</si>
  <si>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</si>
  <si>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</si>
  <si>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</si>
  <si>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</si>
  <si>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</si>
  <si>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</si>
  <si>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</si>
  <si>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</si>
  <si>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</si>
  <si>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</si>
  <si>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</si>
  <si>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</si>
  <si>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</si>
  <si>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</si>
  <si>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</si>
  <si>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</si>
  <si>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</si>
  <si>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</si>
  <si>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</si>
  <si>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</si>
  <si>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</si>
  <si>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</si>
  <si>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</si>
  <si>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</si>
  <si>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</si>
  <si>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</si>
  <si>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</si>
  <si>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</si>
  <si>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</si>
  <si>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</si>
  <si>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</si>
  <si>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</si>
  <si>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</si>
  <si>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</si>
  <si>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</si>
  <si>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</si>
  <si>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</si>
  <si>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</si>
  <si>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</si>
  <si>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</si>
  <si>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</si>
  <si>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</si>
  <si>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</si>
  <si>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</si>
  <si>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</si>
  <si>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</si>
  <si>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</si>
  <si>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</si>
  <si>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</si>
  <si>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</si>
  <si>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</si>
  <si>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</si>
  <si>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</si>
  <si>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</si>
  <si>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</si>
  <si>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</si>
  <si>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</si>
  <si>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</si>
  <si>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</si>
  <si>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</si>
  <si>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</si>
  <si>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</si>
  <si>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</si>
  <si>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</si>
  <si>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</si>
  <si>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</si>
  <si>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</si>
  <si>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</si>
  <si>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</si>
  <si>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</si>
  <si>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</si>
  <si>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</si>
  <si>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</si>
  <si>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</si>
  <si>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</si>
  <si>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</si>
  <si>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</si>
  <si>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</si>
  <si>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</si>
  <si>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</si>
  <si>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</si>
  <si>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</si>
  <si>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</si>
  <si>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</si>
  <si>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</si>
  <si>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</si>
  <si>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</si>
  <si>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</si>
  <si>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</si>
  <si>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</si>
  <si>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</si>
  <si>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</si>
  <si>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</si>
  <si>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</si>
  <si>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</si>
  <si>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</si>
  <si>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</si>
  <si>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</si>
  <si>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</si>
  <si>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</si>
  <si>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</si>
  <si>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</si>
  <si>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</si>
  <si>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</si>
  <si>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</si>
  <si>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</si>
  <si>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</si>
  <si>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</si>
  <si>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</si>
  <si>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</si>
  <si>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</si>
  <si>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</si>
  <si>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</si>
  <si>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</si>
  <si>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</si>
  <si>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</si>
  <si>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</si>
  <si>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</si>
  <si>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</si>
  <si>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</si>
  <si>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</si>
  <si>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</si>
  <si>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</si>
  <si>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</si>
  <si>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</si>
  <si>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</si>
  <si>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</si>
  <si>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</si>
  <si>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</si>
  <si>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</si>
  <si>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</si>
  <si>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</si>
  <si>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</si>
  <si>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</si>
  <si>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</si>
  <si>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</si>
  <si>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</si>
  <si>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</si>
  <si>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</si>
  <si>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</si>
  <si>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</si>
  <si>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</si>
  <si>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</si>
  <si>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</si>
  <si>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</si>
  <si>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</si>
  <si>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</si>
  <si>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</si>
  <si>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</si>
  <si>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</si>
  <si>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</si>
  <si>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</si>
  <si>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</si>
  <si>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</si>
  <si>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</si>
  <si>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</si>
  <si>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</si>
  <si>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</si>
  <si>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</si>
  <si>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</si>
  <si>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</si>
  <si>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</si>
  <si>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</si>
  <si>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</si>
  <si>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</si>
  <si>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</si>
  <si>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</si>
  <si>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</si>
  <si>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</si>
  <si>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</si>
  <si>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</si>
  <si>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</si>
  <si>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</si>
  <si>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</si>
  <si>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</si>
  <si>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</si>
  <si>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</si>
  <si>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</si>
  <si>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</si>
  <si>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</si>
  <si>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</si>
  <si>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</si>
  <si>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</si>
  <si>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</si>
  <si>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</si>
  <si>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</si>
  <si>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</si>
  <si>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</si>
  <si>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</si>
  <si>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</si>
  <si>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</si>
  <si>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</si>
  <si>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</si>
  <si>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</si>
  <si>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</si>
  <si>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</si>
  <si>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</si>
  <si>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</si>
  <si>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</si>
  <si>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</si>
  <si>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</si>
  <si>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</si>
  <si>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</si>
  <si>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</si>
  <si>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</si>
  <si>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</si>
  <si>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</si>
  <si>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</si>
  <si>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</si>
  <si>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</si>
  <si>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</si>
  <si>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</si>
  <si>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</si>
  <si>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</si>
  <si>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</si>
  <si>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</si>
  <si>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</si>
  <si>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</si>
  <si>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</si>
  <si>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</si>
  <si>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</si>
  <si>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</si>
  <si>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</si>
  <si>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</si>
  <si>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</si>
  <si>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</si>
  <si>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</si>
  <si>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</si>
  <si>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</si>
  <si>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</si>
  <si>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</si>
  <si>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</si>
  <si>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</si>
  <si>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</si>
  <si>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</si>
  <si>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</si>
  <si>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</si>
  <si>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</si>
  <si>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</si>
  <si>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</si>
  <si>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</si>
  <si>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</si>
  <si>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</si>
  <si>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</si>
  <si>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</si>
  <si>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</si>
  <si>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</si>
  <si>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</si>
  <si>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</si>
  <si>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</si>
  <si>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</si>
  <si>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</si>
  <si>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</si>
  <si>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</si>
  <si>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</si>
  <si>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</si>
  <si>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</si>
  <si>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</si>
  <si>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</si>
  <si>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</si>
  <si>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</si>
  <si>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</si>
  <si>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</si>
  <si>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</si>
  <si>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</si>
  <si>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</si>
  <si>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</si>
  <si>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</si>
  <si>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</si>
  <si>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</si>
  <si>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</si>
  <si>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</si>
  <si>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</si>
  <si>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</si>
  <si>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</si>
  <si>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</si>
  <si>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</si>
  <si>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</si>
  <si>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</si>
  <si>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</si>
  <si>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</si>
  <si>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</si>
  <si>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</si>
  <si>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</si>
  <si>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</si>
  <si>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</si>
  <si>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</si>
  <si>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</si>
  <si>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</si>
  <si>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</si>
  <si>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</si>
  <si>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</si>
  <si>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</si>
  <si>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</si>
  <si>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</si>
  <si>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</si>
  <si>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</si>
  <si>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</si>
  <si>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</si>
  <si>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</si>
  <si>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</si>
  <si>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</si>
  <si>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</si>
  <si>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</si>
  <si>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</si>
  <si>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</si>
  <si>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</si>
  <si>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</si>
  <si>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</si>
  <si>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</si>
  <si>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</si>
  <si>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</si>
  <si>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</si>
  <si>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</si>
  <si>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</si>
  <si>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</si>
  <si>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</si>
  <si>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</si>
  <si>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</si>
  <si>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</si>
  <si>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</si>
  <si>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</si>
  <si>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</si>
  <si>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</si>
  <si>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</si>
  <si>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</si>
  <si>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</si>
  <si>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</si>
  <si>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</si>
  <si>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</si>
  <si>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</si>
  <si>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</si>
  <si>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</si>
  <si>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</si>
  <si>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</si>
  <si>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</si>
  <si>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</si>
  <si>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</si>
  <si>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</si>
  <si>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</si>
  <si>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</si>
  <si>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</si>
  <si>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</si>
  <si>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</si>
  <si>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</si>
  <si>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</si>
  <si>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</si>
  <si>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</si>
  <si>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</si>
  <si>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</si>
  <si>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</si>
  <si>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</si>
  <si>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</si>
  <si>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</si>
  <si>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</si>
  <si>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</si>
  <si>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</si>
  <si>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</si>
  <si>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</si>
  <si>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</si>
  <si>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</si>
  <si>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</si>
  <si>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</si>
  <si>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</si>
  <si>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</si>
  <si>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</si>
  <si>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</si>
  <si>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</si>
  <si>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</si>
  <si>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</si>
  <si>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</si>
  <si>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</si>
  <si>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</si>
  <si>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</si>
  <si>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</si>
  <si>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</si>
  <si>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</si>
  <si>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</si>
  <si>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</si>
  <si>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</si>
  <si>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</si>
  <si>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</si>
  <si>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</si>
  <si>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</si>
  <si>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</si>
  <si>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</si>
  <si>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</si>
  <si>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</si>
  <si>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</si>
  <si>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</si>
  <si>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</si>
  <si>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</si>
  <si>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</si>
  <si>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</si>
  <si>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</si>
  <si>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</si>
  <si>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</si>
  <si>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</si>
  <si>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</si>
  <si>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</si>
  <si>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</si>
  <si>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</si>
  <si>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</si>
  <si>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</si>
  <si>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</si>
  <si>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</si>
  <si>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</si>
  <si>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</si>
  <si>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</si>
  <si>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</si>
  <si>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</si>
  <si>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</si>
  <si>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</si>
  <si>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</si>
  <si>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</si>
  <si>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</si>
  <si>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</si>
  <si>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</si>
  <si>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</si>
  <si>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</si>
  <si>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</si>
  <si>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</si>
  <si>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</si>
  <si>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</si>
  <si>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</si>
  <si>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</si>
  <si>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</si>
  <si>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</si>
  <si>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</si>
  <si>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</si>
  <si>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</si>
  <si>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</si>
  <si>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</si>
  <si>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</si>
  <si>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</si>
  <si>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</si>
  <si>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</si>
  <si>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</si>
  <si>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</si>
  <si>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</si>
  <si>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</si>
  <si>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</si>
  <si>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</si>
  <si>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</si>
  <si>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</si>
  <si>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</si>
  <si>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</si>
  <si>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</si>
  <si>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</si>
  <si>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</si>
  <si>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</si>
  <si>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</si>
  <si>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</si>
  <si>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</si>
  <si>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</si>
  <si>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</si>
  <si>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</si>
  <si>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</si>
  <si>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</si>
  <si>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</si>
  <si>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</si>
  <si>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</si>
  <si>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</si>
  <si>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</si>
  <si>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</si>
  <si>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</si>
  <si>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</si>
  <si>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</si>
  <si>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</si>
  <si>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</si>
  <si>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</si>
  <si>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</si>
  <si>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</si>
  <si>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</si>
  <si>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</si>
  <si>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</si>
  <si>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</si>
  <si>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</si>
  <si>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</si>
  <si>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</si>
  <si>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</si>
  <si>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</si>
  <si>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</si>
  <si>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</si>
  <si>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</si>
  <si>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</si>
  <si>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</si>
  <si>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</si>
  <si>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</si>
  <si>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</si>
  <si>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</si>
  <si>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</si>
  <si>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</si>
  <si>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</si>
  <si>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</si>
  <si>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</si>
  <si>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</si>
  <si>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</si>
  <si>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</si>
  <si>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</si>
  <si>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</si>
  <si>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</si>
  <si>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</si>
  <si>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</si>
  <si>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</si>
  <si>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</si>
  <si>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</si>
  <si>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</si>
  <si>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</si>
  <si>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</si>
  <si>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</si>
  <si>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</si>
  <si>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</si>
  <si>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</si>
  <si>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</si>
  <si>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</si>
  <si>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</si>
  <si>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</si>
  <si>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</si>
  <si>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</si>
  <si>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</si>
  <si>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</si>
  <si>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</si>
  <si>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</si>
  <si>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</si>
  <si>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</si>
  <si>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</si>
  <si>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</si>
  <si>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</si>
  <si>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</si>
  <si>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</si>
  <si>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</si>
  <si>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</si>
  <si>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</si>
  <si>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</si>
  <si>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</si>
  <si>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</si>
  <si>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</si>
  <si>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</si>
  <si>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</si>
  <si>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</si>
  <si>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</si>
  <si>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</si>
  <si>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</si>
  <si>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</si>
  <si>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</si>
  <si>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</si>
  <si>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</si>
  <si>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</si>
  <si>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</si>
  <si>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</si>
  <si>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</si>
  <si>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</si>
  <si>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</si>
  <si>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</si>
  <si>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</si>
  <si>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</si>
  <si>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</si>
  <si>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</si>
  <si>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</si>
  <si>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</si>
  <si>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</si>
  <si>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</si>
  <si>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</si>
  <si>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</si>
  <si>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</si>
  <si>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</si>
  <si>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</si>
  <si>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</si>
  <si>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</si>
  <si>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</si>
  <si>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</si>
  <si>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</si>
  <si>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</si>
  <si>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</si>
  <si>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</si>
  <si>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</si>
  <si>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</si>
  <si>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</si>
  <si>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</si>
  <si>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</si>
  <si>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</si>
  <si>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</si>
  <si>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</si>
  <si>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</si>
  <si>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</si>
  <si>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</si>
  <si>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</si>
  <si>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</si>
  <si>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</si>
  <si>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</si>
  <si>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</si>
  <si>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</si>
  <si>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</si>
  <si>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</si>
  <si>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</si>
  <si>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</si>
  <si>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</si>
  <si>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</si>
  <si>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</si>
  <si>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</si>
  <si>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</si>
  <si>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</si>
  <si>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</si>
  <si>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</si>
  <si>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</si>
  <si>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</si>
  <si>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</si>
  <si>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</si>
  <si>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</si>
  <si>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</si>
  <si>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</si>
  <si>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</si>
  <si>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</si>
  <si>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</si>
  <si>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</si>
  <si>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</si>
  <si>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</si>
  <si>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</si>
  <si>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</si>
  <si>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</si>
  <si>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</si>
  <si>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</si>
  <si>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</si>
  <si>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</si>
  <si>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</si>
  <si>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</si>
  <si>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</si>
  <si>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</si>
  <si>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</si>
  <si>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</si>
  <si>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</si>
  <si>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</si>
  <si>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</si>
  <si>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</si>
  <si>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</si>
  <si>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</si>
  <si>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</si>
  <si>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</si>
  <si>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</si>
  <si>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</si>
  <si>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</si>
  <si>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</si>
  <si>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</si>
  <si>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</si>
  <si>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</si>
  <si>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</si>
  <si>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</si>
  <si>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</si>
  <si>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</si>
  <si>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</si>
  <si>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</si>
  <si>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</si>
  <si>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</si>
  <si>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</si>
  <si>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</si>
  <si>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</si>
  <si>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</si>
  <si>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</si>
  <si>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</si>
  <si>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</si>
  <si>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</si>
  <si>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</si>
  <si>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</si>
  <si>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</si>
  <si>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</si>
  <si>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</si>
  <si>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</si>
  <si>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</si>
  <si>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</si>
  <si>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</si>
  <si>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</si>
  <si>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</si>
  <si>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</si>
  <si>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</si>
  <si>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</si>
  <si>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</si>
  <si>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</si>
  <si>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</si>
  <si>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</si>
  <si>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</si>
  <si>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</si>
  <si>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</si>
  <si>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</si>
  <si>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</si>
  <si>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</si>
  <si>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</si>
  <si>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</si>
  <si>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</si>
  <si>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</si>
  <si>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</si>
  <si>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</si>
  <si>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</si>
  <si>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</si>
  <si>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</si>
  <si>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</si>
  <si>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</si>
  <si>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</si>
  <si>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</si>
  <si>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</si>
  <si>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</si>
  <si>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</si>
  <si>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</si>
  <si>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</si>
  <si>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</si>
  <si>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</si>
  <si>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</si>
  <si>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</si>
  <si>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</si>
  <si>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</si>
  <si>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</si>
  <si>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</si>
  <si>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</si>
  <si>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</si>
  <si>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</si>
  <si>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</si>
  <si>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</si>
  <si>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</si>
  <si>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</si>
  <si>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</si>
  <si>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</si>
  <si>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</si>
  <si>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</si>
  <si>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</si>
  <si>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</si>
  <si>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</si>
  <si>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</si>
  <si>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</si>
  <si>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</si>
  <si>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</si>
  <si>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</si>
  <si>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</si>
  <si>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</si>
  <si>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</si>
  <si>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</si>
  <si>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</si>
  <si>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</si>
  <si>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</si>
  <si>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</si>
  <si>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</si>
  <si>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</si>
  <si>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</si>
  <si>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</si>
  <si>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</si>
  <si>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</si>
  <si>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</si>
  <si>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</si>
  <si>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</si>
  <si>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</si>
  <si>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</si>
  <si>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</si>
  <si>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</si>
  <si>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</si>
  <si>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</si>
  <si>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</si>
  <si>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</si>
  <si>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</si>
  <si>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</si>
  <si>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</si>
  <si>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</si>
  <si>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</si>
  <si>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</si>
  <si>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</si>
  <si>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</si>
  <si>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</si>
  <si>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</si>
  <si>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</si>
  <si>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</si>
  <si>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</si>
  <si>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</si>
  <si>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</si>
  <si>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</si>
  <si>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</si>
  <si>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</si>
  <si>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</si>
  <si>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</si>
  <si>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</si>
  <si>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</si>
  <si>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</si>
  <si>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</si>
  <si>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</si>
  <si>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</si>
  <si>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</si>
  <si>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</si>
  <si>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</si>
  <si>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</si>
  <si>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</si>
  <si>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</si>
  <si>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</si>
  <si>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</si>
  <si>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</si>
  <si>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</si>
  <si>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</si>
  <si>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</si>
  <si>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</si>
  <si>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PITTSFIELD SCHOOL DISTRICT</t>
  </si>
  <si>
    <t>12/99</t>
  </si>
  <si>
    <t>01/20</t>
  </si>
  <si>
    <t>CARPENTER TRUST</t>
  </si>
  <si>
    <t>The $146,651.15 represents our settlement from HeathTrust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</si>
</sst>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10" zoomScaleNormal="110" workbookViewId="0">
      <pane xSplit="5" ySplit="3" topLeftCell="F644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439</v>
      </c>
      <c r="C2" s="21">
        <v>439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1213980.05</v>
      </c>
      <c r="G9" s="18">
        <v>8745.1200000000008</v>
      </c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202692.77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126316.77</v>
      </c>
      <c r="G12" s="18">
        <v>170</v>
      </c>
      <c r="H12" s="18">
        <v>6971.69</v>
      </c>
      <c r="I12" s="18"/>
      <c r="J12" s="67">
        <f>SUM(I441)</f>
        <v>10000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30086</v>
      </c>
      <c r="G13" s="18">
        <v>40243.03</v>
      </c>
      <c r="H13" s="18">
        <v>249826.76</v>
      </c>
      <c r="I13" s="18"/>
      <c r="J13" s="67">
        <f>SUM(I442)</f>
        <v>296529.61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34484.79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5613.37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1404867.61</v>
      </c>
      <c r="G19" s="41">
        <f>SUM(G9:G18)</f>
        <v>54771.520000000004</v>
      </c>
      <c r="H19" s="41">
        <f>SUM(H9:H18)</f>
        <v>256798.45</v>
      </c>
      <c r="I19" s="41">
        <f>SUM(I9:I18)</f>
        <v>0</v>
      </c>
      <c r="J19" s="41">
        <f>SUM(J9:J18)</f>
        <v>509222.38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24101.67</v>
      </c>
      <c r="G22" s="18">
        <v>35873.79</v>
      </c>
      <c r="H22" s="18">
        <v>90442.98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190808.53</v>
      </c>
      <c r="G24" s="18">
        <v>23142.15</v>
      </c>
      <c r="H24" s="18">
        <v>1505.57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631179.32999999996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164849.9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846089.53</v>
      </c>
      <c r="G32" s="41">
        <f>SUM(G22:G31)</f>
        <v>59015.94</v>
      </c>
      <c r="H32" s="41">
        <f>SUM(H22:H31)</f>
        <v>256798.45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5613.37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202692.77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150000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-9857.7900000000009</v>
      </c>
      <c r="H48" s="18"/>
      <c r="I48" s="18"/>
      <c r="J48" s="13">
        <f>SUM(I459)</f>
        <v>306529.61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408778.08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558778.08000000007</v>
      </c>
      <c r="G51" s="41">
        <f>SUM(G35:G50)</f>
        <v>-4244.420000000001</v>
      </c>
      <c r="H51" s="41">
        <f>SUM(H35:H50)</f>
        <v>0</v>
      </c>
      <c r="I51" s="41">
        <f>SUM(I35:I50)</f>
        <v>0</v>
      </c>
      <c r="J51" s="41">
        <f>SUM(J35:J50)</f>
        <v>509222.38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1404867.61</v>
      </c>
      <c r="G52" s="41">
        <f>G51+G32</f>
        <v>54771.520000000004</v>
      </c>
      <c r="H52" s="41">
        <f>H51+H32</f>
        <v>256798.45</v>
      </c>
      <c r="I52" s="41">
        <f>I51+I32</f>
        <v>0</v>
      </c>
      <c r="J52" s="41">
        <f>J51+J32</f>
        <v>509222.38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4391777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4391777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22558.35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22558.35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141.54</v>
      </c>
      <c r="G96" s="18">
        <v>5.56</v>
      </c>
      <c r="H96" s="18"/>
      <c r="I96" s="18"/>
      <c r="J96" s="18">
        <v>3788.11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97070.6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10000</v>
      </c>
      <c r="G102" s="18"/>
      <c r="H102" s="18">
        <v>664918.09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1856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146651.15</v>
      </c>
      <c r="G110" s="18"/>
      <c r="H110" s="18"/>
      <c r="I110" s="18"/>
      <c r="J110" s="18">
        <v>24742.79</v>
      </c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158648.69</v>
      </c>
      <c r="G111" s="41">
        <f>SUM(G96:G110)</f>
        <v>97076.160000000003</v>
      </c>
      <c r="H111" s="41">
        <f>SUM(H96:H110)</f>
        <v>664918.09</v>
      </c>
      <c r="I111" s="41">
        <f>SUM(I96:I110)</f>
        <v>0</v>
      </c>
      <c r="J111" s="41">
        <f>SUM(J96:J110)</f>
        <v>28530.9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4572984.04</v>
      </c>
      <c r="G112" s="41">
        <f>G60+G111</f>
        <v>97076.160000000003</v>
      </c>
      <c r="H112" s="41">
        <f>H60+H79+H94+H111</f>
        <v>664918.09</v>
      </c>
      <c r="I112" s="41">
        <f>I60+I111</f>
        <v>0</v>
      </c>
      <c r="J112" s="41">
        <f>J60+J111</f>
        <v>28530.9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4209316.96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544235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4753551.96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100163.26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162443.20000000001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9687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3890.12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272293.46000000002</v>
      </c>
      <c r="G136" s="41">
        <f>SUM(G123:G135)</f>
        <v>3890.12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5025845.42</v>
      </c>
      <c r="G140" s="41">
        <f>G121+SUM(G136:G137)</f>
        <v>3890.12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312352.89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62781.05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205326.46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159748.13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181773.86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2186.29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181773.86</v>
      </c>
      <c r="G162" s="41">
        <f>SUM(G150:G161)</f>
        <v>205326.46</v>
      </c>
      <c r="H162" s="41">
        <f>SUM(H150:H161)</f>
        <v>537068.3600000001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>
        <v>33605.89</v>
      </c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181773.86</v>
      </c>
      <c r="G169" s="41">
        <f>G147+G162+SUM(G163:G168)</f>
        <v>205326.46</v>
      </c>
      <c r="H169" s="41">
        <f>H147+H162+SUM(H163:H168)</f>
        <v>570674.25000000012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>
        <v>340000</v>
      </c>
      <c r="J179" s="18">
        <v>110000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5023.59</v>
      </c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5023.59</v>
      </c>
      <c r="G183" s="41">
        <f>SUM(G179:G182)</f>
        <v>0</v>
      </c>
      <c r="H183" s="41">
        <f>SUM(H179:H182)</f>
        <v>0</v>
      </c>
      <c r="I183" s="41">
        <f>SUM(I179:I182)</f>
        <v>340000</v>
      </c>
      <c r="J183" s="41">
        <f>SUM(J179:J182)</f>
        <v>110000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>
        <v>151372.79</v>
      </c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151372.79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5023.59</v>
      </c>
      <c r="G192" s="41">
        <f>G183+SUM(G188:G191)</f>
        <v>0</v>
      </c>
      <c r="H192" s="41">
        <f>+H183+SUM(H188:H191)</f>
        <v>0</v>
      </c>
      <c r="I192" s="41">
        <f>I177+I183+SUM(I188:I191)</f>
        <v>491372.79000000004</v>
      </c>
      <c r="J192" s="41">
        <f>J183</f>
        <v>110000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9785626.9100000001</v>
      </c>
      <c r="G193" s="47">
        <f>G112+G140+G169+G192</f>
        <v>306292.74</v>
      </c>
      <c r="H193" s="47">
        <f>H112+H140+H169+H192</f>
        <v>1235592.3400000001</v>
      </c>
      <c r="I193" s="47">
        <f>I112+I140+I169+I192</f>
        <v>491372.79000000004</v>
      </c>
      <c r="J193" s="47">
        <f>J112+J140+J192</f>
        <v>138530.9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935968.26</v>
      </c>
      <c r="G197" s="18">
        <v>456547.13</v>
      </c>
      <c r="H197" s="18">
        <v>4842.49</v>
      </c>
      <c r="I197" s="18">
        <v>64981.31</v>
      </c>
      <c r="J197" s="18"/>
      <c r="K197" s="18">
        <v>4940.51</v>
      </c>
      <c r="L197" s="19">
        <f>SUM(F197:K197)</f>
        <v>1467279.7000000002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582083.68000000005</v>
      </c>
      <c r="G198" s="18">
        <v>244989.48</v>
      </c>
      <c r="H198" s="18">
        <v>39980.51</v>
      </c>
      <c r="I198" s="18">
        <v>3330.62</v>
      </c>
      <c r="J198" s="18"/>
      <c r="K198" s="18">
        <v>828.55</v>
      </c>
      <c r="L198" s="19">
        <f>SUM(F198:K198)</f>
        <v>871212.84000000008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199690.4</v>
      </c>
      <c r="G202" s="18">
        <v>117359.38</v>
      </c>
      <c r="H202" s="18">
        <v>29123.32</v>
      </c>
      <c r="I202" s="18">
        <v>5118.93</v>
      </c>
      <c r="J202" s="18">
        <v>985</v>
      </c>
      <c r="K202" s="18">
        <v>135</v>
      </c>
      <c r="L202" s="19">
        <f t="shared" ref="L202:L208" si="0">SUM(F202:K202)</f>
        <v>352412.03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45390.07</v>
      </c>
      <c r="G203" s="18">
        <v>19074.95</v>
      </c>
      <c r="H203" s="18">
        <v>42934.31</v>
      </c>
      <c r="I203" s="18">
        <v>15494.61</v>
      </c>
      <c r="J203" s="18">
        <v>53811.91</v>
      </c>
      <c r="K203" s="18">
        <v>12180.49</v>
      </c>
      <c r="L203" s="19">
        <f t="shared" si="0"/>
        <v>188886.34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101150.72</v>
      </c>
      <c r="G204" s="18">
        <v>54301.36</v>
      </c>
      <c r="H204" s="18">
        <v>25525.31</v>
      </c>
      <c r="I204" s="18">
        <v>3383.77</v>
      </c>
      <c r="J204" s="18">
        <v>441.97</v>
      </c>
      <c r="K204" s="18">
        <v>3701.3</v>
      </c>
      <c r="L204" s="19">
        <f t="shared" si="0"/>
        <v>188504.43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251149.72</v>
      </c>
      <c r="G205" s="18">
        <v>122557.99</v>
      </c>
      <c r="H205" s="18">
        <v>15507.06</v>
      </c>
      <c r="I205" s="18">
        <v>3987.62</v>
      </c>
      <c r="J205" s="18"/>
      <c r="K205" s="18">
        <v>795.17</v>
      </c>
      <c r="L205" s="19">
        <f t="shared" si="0"/>
        <v>393997.56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100820.13</v>
      </c>
      <c r="G207" s="18">
        <v>69967.520000000004</v>
      </c>
      <c r="H207" s="18">
        <v>123631.56</v>
      </c>
      <c r="I207" s="18">
        <v>107454.42</v>
      </c>
      <c r="J207" s="18">
        <v>329</v>
      </c>
      <c r="K207" s="18"/>
      <c r="L207" s="19">
        <f t="shared" si="0"/>
        <v>402202.63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204733.97</v>
      </c>
      <c r="I208" s="18"/>
      <c r="J208" s="18"/>
      <c r="K208" s="18"/>
      <c r="L208" s="19">
        <f t="shared" si="0"/>
        <v>204733.97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2216252.98</v>
      </c>
      <c r="G211" s="41">
        <f t="shared" si="1"/>
        <v>1084797.8099999998</v>
      </c>
      <c r="H211" s="41">
        <f t="shared" si="1"/>
        <v>486278.53</v>
      </c>
      <c r="I211" s="41">
        <f t="shared" si="1"/>
        <v>203751.27999999997</v>
      </c>
      <c r="J211" s="41">
        <f t="shared" si="1"/>
        <v>55567.880000000005</v>
      </c>
      <c r="K211" s="41">
        <f t="shared" si="1"/>
        <v>22581.019999999997</v>
      </c>
      <c r="L211" s="41">
        <f t="shared" si="1"/>
        <v>4069229.5000000005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281985.65000000002</v>
      </c>
      <c r="G215" s="18">
        <v>131437.67000000001</v>
      </c>
      <c r="H215" s="18">
        <v>1390.41</v>
      </c>
      <c r="I215" s="18">
        <v>13049.64</v>
      </c>
      <c r="J215" s="18">
        <v>1788.81</v>
      </c>
      <c r="K215" s="18">
        <v>3382.67</v>
      </c>
      <c r="L215" s="19">
        <f>SUM(F215:K215)</f>
        <v>433034.85000000003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255838.54</v>
      </c>
      <c r="G216" s="18">
        <v>95000.33</v>
      </c>
      <c r="H216" s="18">
        <v>184244.22</v>
      </c>
      <c r="I216" s="18">
        <v>636.12</v>
      </c>
      <c r="J216" s="18"/>
      <c r="K216" s="18">
        <v>220</v>
      </c>
      <c r="L216" s="19">
        <f>SUM(F216:K216)</f>
        <v>535939.21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14011.23</v>
      </c>
      <c r="G218" s="18">
        <v>1843.36</v>
      </c>
      <c r="H218" s="18">
        <v>4411.0600000000004</v>
      </c>
      <c r="I218" s="18">
        <v>1766.97</v>
      </c>
      <c r="J218" s="18"/>
      <c r="K218" s="18">
        <v>1610</v>
      </c>
      <c r="L218" s="19">
        <f>SUM(F218:K218)</f>
        <v>23642.620000000003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69471.649999999994</v>
      </c>
      <c r="G220" s="18">
        <v>36498.46</v>
      </c>
      <c r="H220" s="18">
        <v>39148.620000000003</v>
      </c>
      <c r="I220" s="18">
        <v>889.96</v>
      </c>
      <c r="J220" s="18"/>
      <c r="K220" s="18">
        <v>35</v>
      </c>
      <c r="L220" s="19">
        <f t="shared" ref="L220:L226" si="2">SUM(F220:K220)</f>
        <v>146043.68999999997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27867.64</v>
      </c>
      <c r="G221" s="18">
        <v>18960.95</v>
      </c>
      <c r="H221" s="18">
        <v>19159.099999999999</v>
      </c>
      <c r="I221" s="18">
        <v>3265.87</v>
      </c>
      <c r="J221" s="18">
        <v>19978.61</v>
      </c>
      <c r="K221" s="18">
        <v>1041.52</v>
      </c>
      <c r="L221" s="19">
        <f t="shared" si="2"/>
        <v>90273.69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27586.560000000001</v>
      </c>
      <c r="G222" s="18">
        <v>14849.39</v>
      </c>
      <c r="H222" s="18">
        <v>6961.45</v>
      </c>
      <c r="I222" s="18">
        <v>922.85</v>
      </c>
      <c r="J222" s="18">
        <v>120.54</v>
      </c>
      <c r="K222" s="18">
        <v>1009.44</v>
      </c>
      <c r="L222" s="19">
        <f t="shared" si="2"/>
        <v>51450.229999999996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76942.17</v>
      </c>
      <c r="G223" s="18">
        <v>38914</v>
      </c>
      <c r="H223" s="18">
        <v>9490.74</v>
      </c>
      <c r="I223" s="18">
        <v>2062.9899999999998</v>
      </c>
      <c r="J223" s="18">
        <v>541.4</v>
      </c>
      <c r="K223" s="18">
        <v>123.05</v>
      </c>
      <c r="L223" s="19">
        <f t="shared" si="2"/>
        <v>128074.35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40231.370000000003</v>
      </c>
      <c r="G225" s="18">
        <v>31022.74</v>
      </c>
      <c r="H225" s="18">
        <v>66375.39</v>
      </c>
      <c r="I225" s="18">
        <v>62844.19</v>
      </c>
      <c r="J225" s="18">
        <v>583.02</v>
      </c>
      <c r="K225" s="18">
        <v>78.5</v>
      </c>
      <c r="L225" s="19">
        <f t="shared" si="2"/>
        <v>201135.21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145505.57999999999</v>
      </c>
      <c r="I226" s="18"/>
      <c r="J226" s="18"/>
      <c r="K226" s="18"/>
      <c r="L226" s="19">
        <f t="shared" si="2"/>
        <v>145505.57999999999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793934.81000000017</v>
      </c>
      <c r="G229" s="41">
        <f>SUM(G215:G228)</f>
        <v>368526.9</v>
      </c>
      <c r="H229" s="41">
        <f>SUM(H215:H228)</f>
        <v>476686.57000000007</v>
      </c>
      <c r="I229" s="41">
        <f>SUM(I215:I228)</f>
        <v>85438.59</v>
      </c>
      <c r="J229" s="41">
        <f>SUM(J215:J228)</f>
        <v>23012.380000000005</v>
      </c>
      <c r="K229" s="41">
        <f t="shared" si="3"/>
        <v>7500.1800000000012</v>
      </c>
      <c r="L229" s="41">
        <f t="shared" si="3"/>
        <v>1755099.4300000002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675234.21</v>
      </c>
      <c r="G233" s="18">
        <v>323047.61</v>
      </c>
      <c r="H233" s="18">
        <v>11266.23</v>
      </c>
      <c r="I233" s="18">
        <v>33876.6</v>
      </c>
      <c r="J233" s="18">
        <v>3844.64</v>
      </c>
      <c r="K233" s="18">
        <v>5283.49</v>
      </c>
      <c r="L233" s="19">
        <f>SUM(F233:K233)</f>
        <v>1052552.78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226193.32</v>
      </c>
      <c r="G234" s="18">
        <v>107201.38</v>
      </c>
      <c r="H234" s="18">
        <v>194189.44</v>
      </c>
      <c r="I234" s="18">
        <v>1640.13</v>
      </c>
      <c r="J234" s="18"/>
      <c r="K234" s="18">
        <v>408.55</v>
      </c>
      <c r="L234" s="19">
        <f>SUM(F234:K234)</f>
        <v>529632.82000000007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22326.11</v>
      </c>
      <c r="I235" s="18"/>
      <c r="J235" s="18"/>
      <c r="K235" s="18"/>
      <c r="L235" s="19">
        <f>SUM(F235:K235)</f>
        <v>22326.11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44445.49</v>
      </c>
      <c r="G236" s="18">
        <v>5751.73</v>
      </c>
      <c r="H236" s="18">
        <v>16237.54</v>
      </c>
      <c r="I236" s="18">
        <v>7476.95</v>
      </c>
      <c r="J236" s="18"/>
      <c r="K236" s="18">
        <v>4351</v>
      </c>
      <c r="L236" s="19">
        <f>SUM(F236:K236)</f>
        <v>78262.710000000006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116100.25</v>
      </c>
      <c r="G238" s="18">
        <v>61671.199999999997</v>
      </c>
      <c r="H238" s="18">
        <v>33488.67</v>
      </c>
      <c r="I238" s="18">
        <v>2142.54</v>
      </c>
      <c r="J238" s="18"/>
      <c r="K238" s="18">
        <v>318</v>
      </c>
      <c r="L238" s="19">
        <f t="shared" ref="L238:L244" si="4">SUM(F238:K238)</f>
        <v>213720.66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58849.06</v>
      </c>
      <c r="G239" s="18">
        <v>39174.47</v>
      </c>
      <c r="H239" s="18">
        <v>31554.06</v>
      </c>
      <c r="I239" s="18">
        <v>11472.24</v>
      </c>
      <c r="J239" s="18">
        <v>36065.11</v>
      </c>
      <c r="K239" s="18">
        <v>1510.85</v>
      </c>
      <c r="L239" s="19">
        <f t="shared" si="4"/>
        <v>178625.79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55173.120000000003</v>
      </c>
      <c r="G240" s="18">
        <v>29672.959999999999</v>
      </c>
      <c r="H240" s="18">
        <v>13922.89</v>
      </c>
      <c r="I240" s="18">
        <v>1845.69</v>
      </c>
      <c r="J240" s="18">
        <v>241.08</v>
      </c>
      <c r="K240" s="18">
        <v>2018.9</v>
      </c>
      <c r="L240" s="19">
        <f t="shared" si="4"/>
        <v>102874.64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141543.89000000001</v>
      </c>
      <c r="G241" s="18">
        <v>73126.81</v>
      </c>
      <c r="H241" s="18">
        <v>19124.439999999999</v>
      </c>
      <c r="I241" s="18">
        <v>5155.6400000000003</v>
      </c>
      <c r="J241" s="18">
        <v>1005.46</v>
      </c>
      <c r="K241" s="18">
        <v>1412.45</v>
      </c>
      <c r="L241" s="19">
        <f t="shared" si="4"/>
        <v>241368.69000000003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74481.11</v>
      </c>
      <c r="G243" s="18">
        <v>57751.89</v>
      </c>
      <c r="H243" s="18">
        <v>124921.71</v>
      </c>
      <c r="I243" s="18">
        <v>118490.27</v>
      </c>
      <c r="J243" s="18">
        <v>1082.17</v>
      </c>
      <c r="K243" s="18">
        <v>145.79</v>
      </c>
      <c r="L243" s="19">
        <f t="shared" si="4"/>
        <v>376872.94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171899.13</v>
      </c>
      <c r="I244" s="18"/>
      <c r="J244" s="18"/>
      <c r="K244" s="18"/>
      <c r="L244" s="19">
        <f t="shared" si="4"/>
        <v>171899.13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1392020.4500000004</v>
      </c>
      <c r="G247" s="41">
        <f t="shared" si="5"/>
        <v>697398.04999999993</v>
      </c>
      <c r="H247" s="41">
        <f t="shared" si="5"/>
        <v>638930.22000000009</v>
      </c>
      <c r="I247" s="41">
        <f t="shared" si="5"/>
        <v>182100.06</v>
      </c>
      <c r="J247" s="41">
        <f t="shared" si="5"/>
        <v>42238.46</v>
      </c>
      <c r="K247" s="41">
        <f t="shared" si="5"/>
        <v>15449.030000000002</v>
      </c>
      <c r="L247" s="41">
        <f t="shared" si="5"/>
        <v>2968136.27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4402208.24</v>
      </c>
      <c r="G257" s="41">
        <f t="shared" si="8"/>
        <v>2150722.7599999998</v>
      </c>
      <c r="H257" s="41">
        <f t="shared" si="8"/>
        <v>1601895.3200000003</v>
      </c>
      <c r="I257" s="41">
        <f t="shared" si="8"/>
        <v>471289.93</v>
      </c>
      <c r="J257" s="41">
        <f t="shared" si="8"/>
        <v>120818.72</v>
      </c>
      <c r="K257" s="41">
        <f t="shared" si="8"/>
        <v>45530.229999999996</v>
      </c>
      <c r="L257" s="41">
        <f t="shared" si="8"/>
        <v>8792465.2000000011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265000</v>
      </c>
      <c r="L260" s="19">
        <f>SUM(F260:K260)</f>
        <v>265000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104608.76</v>
      </c>
      <c r="L261" s="19">
        <f>SUM(F261:K261)</f>
        <v>104608.76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340000</v>
      </c>
      <c r="L265" s="19">
        <f t="shared" si="9"/>
        <v>340000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110000</v>
      </c>
      <c r="L266" s="19">
        <f t="shared" si="9"/>
        <v>110000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819608.76</v>
      </c>
      <c r="L270" s="41">
        <f t="shared" si="9"/>
        <v>819608.76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4402208.24</v>
      </c>
      <c r="G271" s="42">
        <f t="shared" si="11"/>
        <v>2150722.7599999998</v>
      </c>
      <c r="H271" s="42">
        <f t="shared" si="11"/>
        <v>1601895.3200000003</v>
      </c>
      <c r="I271" s="42">
        <f t="shared" si="11"/>
        <v>471289.93</v>
      </c>
      <c r="J271" s="42">
        <f t="shared" si="11"/>
        <v>120818.72</v>
      </c>
      <c r="K271" s="42">
        <f t="shared" si="11"/>
        <v>865138.99</v>
      </c>
      <c r="L271" s="42">
        <f t="shared" si="11"/>
        <v>9612073.9600000009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115840.3</v>
      </c>
      <c r="G276" s="18">
        <v>47787.8</v>
      </c>
      <c r="H276" s="18">
        <v>5184.42</v>
      </c>
      <c r="I276" s="18">
        <v>21289.599999999999</v>
      </c>
      <c r="J276" s="18">
        <v>2392.46</v>
      </c>
      <c r="K276" s="18">
        <v>706.1</v>
      </c>
      <c r="L276" s="19">
        <f>SUM(F276:K276)</f>
        <v>193200.68000000002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135.57</v>
      </c>
      <c r="G277" s="18">
        <v>10.72</v>
      </c>
      <c r="H277" s="18"/>
      <c r="I277" s="18">
        <v>876.09</v>
      </c>
      <c r="J277" s="18">
        <v>882.35</v>
      </c>
      <c r="K277" s="18"/>
      <c r="L277" s="19">
        <f>SUM(F277:K277)</f>
        <v>1904.73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6618.92</v>
      </c>
      <c r="G279" s="18">
        <v>594.88</v>
      </c>
      <c r="H279" s="18"/>
      <c r="I279" s="18"/>
      <c r="J279" s="18"/>
      <c r="K279" s="18"/>
      <c r="L279" s="19">
        <f>SUM(F279:K279)</f>
        <v>7213.8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35824.559999999998</v>
      </c>
      <c r="G281" s="18">
        <v>19228.14</v>
      </c>
      <c r="H281" s="18"/>
      <c r="I281" s="18">
        <v>3090.53</v>
      </c>
      <c r="J281" s="18">
        <v>1970</v>
      </c>
      <c r="K281" s="18"/>
      <c r="L281" s="19">
        <f t="shared" ref="L281:L287" si="12">SUM(F281:K281)</f>
        <v>60113.229999999996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39521.620000000003</v>
      </c>
      <c r="G282" s="18">
        <v>20587.82</v>
      </c>
      <c r="H282" s="18">
        <v>14995.23</v>
      </c>
      <c r="I282" s="18">
        <v>4632.95</v>
      </c>
      <c r="J282" s="18"/>
      <c r="K282" s="18"/>
      <c r="L282" s="19">
        <f t="shared" si="12"/>
        <v>79737.62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8532.16</v>
      </c>
      <c r="G284" s="18">
        <v>2283.62</v>
      </c>
      <c r="H284" s="18"/>
      <c r="I284" s="18"/>
      <c r="J284" s="18"/>
      <c r="K284" s="18"/>
      <c r="L284" s="19">
        <f t="shared" si="12"/>
        <v>10815.779999999999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>
        <v>2186.29</v>
      </c>
      <c r="I286" s="18"/>
      <c r="J286" s="18"/>
      <c r="K286" s="18"/>
      <c r="L286" s="19">
        <f t="shared" si="12"/>
        <v>2186.29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1608.37</v>
      </c>
      <c r="I287" s="18"/>
      <c r="J287" s="18"/>
      <c r="K287" s="18"/>
      <c r="L287" s="19">
        <f t="shared" si="12"/>
        <v>1608.37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206473.13</v>
      </c>
      <c r="G290" s="42">
        <f t="shared" si="13"/>
        <v>90492.98000000001</v>
      </c>
      <c r="H290" s="42">
        <f t="shared" si="13"/>
        <v>23974.31</v>
      </c>
      <c r="I290" s="42">
        <f t="shared" si="13"/>
        <v>29889.17</v>
      </c>
      <c r="J290" s="42">
        <f t="shared" si="13"/>
        <v>5244.8099999999995</v>
      </c>
      <c r="K290" s="42">
        <f t="shared" si="13"/>
        <v>706.1</v>
      </c>
      <c r="L290" s="41">
        <f t="shared" si="13"/>
        <v>356780.49999999994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1166.3</v>
      </c>
      <c r="G295" s="18">
        <v>214.06</v>
      </c>
      <c r="H295" s="18"/>
      <c r="I295" s="18"/>
      <c r="J295" s="18"/>
      <c r="K295" s="18"/>
      <c r="L295" s="19">
        <f>SUM(F295:K295)</f>
        <v>1380.36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21569.29</v>
      </c>
      <c r="G296" s="18">
        <v>4288.24</v>
      </c>
      <c r="H296" s="18"/>
      <c r="I296" s="18">
        <v>306.63</v>
      </c>
      <c r="J296" s="18"/>
      <c r="K296" s="18"/>
      <c r="L296" s="19">
        <f>SUM(F296:K296)</f>
        <v>26164.16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24702.51</v>
      </c>
      <c r="G300" s="18">
        <v>13958.83</v>
      </c>
      <c r="H300" s="18"/>
      <c r="I300" s="18">
        <v>452.5</v>
      </c>
      <c r="J300" s="18"/>
      <c r="K300" s="18"/>
      <c r="L300" s="19">
        <f t="shared" ref="L300:L306" si="14">SUM(F300:K300)</f>
        <v>39113.839999999997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12232.2</v>
      </c>
      <c r="G301" s="18">
        <v>4153.7</v>
      </c>
      <c r="H301" s="18">
        <v>34985.24</v>
      </c>
      <c r="I301" s="18">
        <v>3064.22</v>
      </c>
      <c r="J301" s="18"/>
      <c r="K301" s="18"/>
      <c r="L301" s="19">
        <f t="shared" si="14"/>
        <v>54435.360000000001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>
        <v>4096.18</v>
      </c>
      <c r="I306" s="18"/>
      <c r="J306" s="18"/>
      <c r="K306" s="18"/>
      <c r="L306" s="19">
        <f t="shared" si="14"/>
        <v>4096.18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59670.3</v>
      </c>
      <c r="G309" s="42">
        <f t="shared" si="15"/>
        <v>22614.83</v>
      </c>
      <c r="H309" s="42">
        <f t="shared" si="15"/>
        <v>39081.42</v>
      </c>
      <c r="I309" s="42">
        <f t="shared" si="15"/>
        <v>3823.35</v>
      </c>
      <c r="J309" s="42">
        <f t="shared" si="15"/>
        <v>0</v>
      </c>
      <c r="K309" s="42">
        <f t="shared" si="15"/>
        <v>0</v>
      </c>
      <c r="L309" s="41">
        <f t="shared" si="15"/>
        <v>125189.9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84394.36</v>
      </c>
      <c r="G314" s="18">
        <v>29438.52</v>
      </c>
      <c r="H314" s="18">
        <v>1831.8</v>
      </c>
      <c r="I314" s="18">
        <v>6601.96</v>
      </c>
      <c r="J314" s="18">
        <v>80.45</v>
      </c>
      <c r="K314" s="18"/>
      <c r="L314" s="19">
        <f>SUM(F314:K314)</f>
        <v>122347.09000000001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8957.43</v>
      </c>
      <c r="G315" s="18">
        <v>747.5</v>
      </c>
      <c r="H315" s="18"/>
      <c r="I315" s="18">
        <v>569.46</v>
      </c>
      <c r="J315" s="18"/>
      <c r="K315" s="18"/>
      <c r="L315" s="19">
        <f>SUM(F315:K315)</f>
        <v>10274.39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14500.43</v>
      </c>
      <c r="G319" s="18">
        <v>7930</v>
      </c>
      <c r="H319" s="18"/>
      <c r="I319" s="18"/>
      <c r="J319" s="18"/>
      <c r="K319" s="18"/>
      <c r="L319" s="19">
        <f t="shared" ref="L319:L325" si="16">SUM(F319:K319)</f>
        <v>22430.43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112115.27</v>
      </c>
      <c r="G320" s="18">
        <v>49339.63</v>
      </c>
      <c r="H320" s="18">
        <v>275314.65000000002</v>
      </c>
      <c r="I320" s="18">
        <v>23401.96</v>
      </c>
      <c r="J320" s="18"/>
      <c r="K320" s="18"/>
      <c r="L320" s="19">
        <f t="shared" si="16"/>
        <v>460171.51000000007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v>19600</v>
      </c>
      <c r="G321" s="18">
        <v>1499.48</v>
      </c>
      <c r="H321" s="18"/>
      <c r="I321" s="18"/>
      <c r="J321" s="18"/>
      <c r="K321" s="18"/>
      <c r="L321" s="19">
        <f t="shared" si="16"/>
        <v>21099.48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>
        <v>86653.53</v>
      </c>
      <c r="G322" s="18">
        <v>12400.01</v>
      </c>
      <c r="H322" s="18"/>
      <c r="I322" s="18">
        <v>2899.29</v>
      </c>
      <c r="J322" s="18"/>
      <c r="K322" s="18"/>
      <c r="L322" s="19">
        <f t="shared" si="16"/>
        <v>101952.82999999999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>
        <v>10322.620000000001</v>
      </c>
      <c r="I325" s="18"/>
      <c r="J325" s="18"/>
      <c r="K325" s="18"/>
      <c r="L325" s="19">
        <f t="shared" si="16"/>
        <v>10322.620000000001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326221.02</v>
      </c>
      <c r="G328" s="42">
        <f t="shared" si="17"/>
        <v>101355.13999999998</v>
      </c>
      <c r="H328" s="42">
        <f t="shared" si="17"/>
        <v>287469.07</v>
      </c>
      <c r="I328" s="42">
        <f t="shared" si="17"/>
        <v>33472.67</v>
      </c>
      <c r="J328" s="42">
        <f t="shared" si="17"/>
        <v>80.45</v>
      </c>
      <c r="K328" s="42">
        <f t="shared" si="17"/>
        <v>0</v>
      </c>
      <c r="L328" s="41">
        <f t="shared" si="17"/>
        <v>748598.35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592364.44999999995</v>
      </c>
      <c r="G338" s="41">
        <f t="shared" si="20"/>
        <v>214462.95</v>
      </c>
      <c r="H338" s="41">
        <f t="shared" si="20"/>
        <v>350524.8</v>
      </c>
      <c r="I338" s="41">
        <f t="shared" si="20"/>
        <v>67185.19</v>
      </c>
      <c r="J338" s="41">
        <f t="shared" si="20"/>
        <v>5325.2599999999993</v>
      </c>
      <c r="K338" s="41">
        <f t="shared" si="20"/>
        <v>706.1</v>
      </c>
      <c r="L338" s="41">
        <f t="shared" si="20"/>
        <v>1230568.75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5023.59</v>
      </c>
      <c r="L344" s="19">
        <f t="shared" ref="L344:L350" si="21">SUM(F344:K344)</f>
        <v>5023.59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5023.59</v>
      </c>
      <c r="L351" s="41">
        <f>SUM(L341:L350)</f>
        <v>5023.59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592364.44999999995</v>
      </c>
      <c r="G352" s="41">
        <f>G338</f>
        <v>214462.95</v>
      </c>
      <c r="H352" s="41">
        <f>H338</f>
        <v>350524.8</v>
      </c>
      <c r="I352" s="41">
        <f>I338</f>
        <v>67185.19</v>
      </c>
      <c r="J352" s="41">
        <f>J338</f>
        <v>5325.2599999999993</v>
      </c>
      <c r="K352" s="47">
        <f>K338+K351</f>
        <v>5729.6900000000005</v>
      </c>
      <c r="L352" s="41">
        <f>L338+L351</f>
        <v>1235592.3400000001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133509.09</v>
      </c>
      <c r="I358" s="18">
        <v>6928.38</v>
      </c>
      <c r="J358" s="18"/>
      <c r="K358" s="18"/>
      <c r="L358" s="13">
        <f>SUM(F358:K358)</f>
        <v>140437.47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>
        <v>53398.29</v>
      </c>
      <c r="I359" s="18">
        <v>2262.33</v>
      </c>
      <c r="J359" s="18"/>
      <c r="K359" s="18"/>
      <c r="L359" s="19">
        <f>SUM(F359:K359)</f>
        <v>55660.62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>
        <v>109749.75</v>
      </c>
      <c r="I360" s="18">
        <v>4948.84</v>
      </c>
      <c r="J360" s="18"/>
      <c r="K360" s="18"/>
      <c r="L360" s="19">
        <f>SUM(F360:K360)</f>
        <v>114698.59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296657.13</v>
      </c>
      <c r="I362" s="47">
        <f t="shared" si="22"/>
        <v>14139.55</v>
      </c>
      <c r="J362" s="47">
        <f t="shared" si="22"/>
        <v>0</v>
      </c>
      <c r="K362" s="47">
        <f t="shared" si="22"/>
        <v>0</v>
      </c>
      <c r="L362" s="47">
        <f t="shared" si="22"/>
        <v>310796.68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7583.94</v>
      </c>
      <c r="G367" s="18">
        <v>2527.98</v>
      </c>
      <c r="H367" s="18">
        <v>3932.42</v>
      </c>
      <c r="I367" s="56">
        <f>SUM(F367:H367)</f>
        <v>14044.34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51.41</v>
      </c>
      <c r="G368" s="63">
        <v>17.14</v>
      </c>
      <c r="H368" s="63">
        <v>26.66</v>
      </c>
      <c r="I368" s="56">
        <f>SUM(F368:H368)</f>
        <v>95.21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7635.3499999999995</v>
      </c>
      <c r="G369" s="47">
        <f>SUM(G367:G368)</f>
        <v>2545.12</v>
      </c>
      <c r="H369" s="47">
        <f>SUM(H367:H368)</f>
        <v>3959.08</v>
      </c>
      <c r="I369" s="47">
        <f>SUM(I367:I368)</f>
        <v>14139.55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>
        <v>10156.92</v>
      </c>
      <c r="I376" s="18"/>
      <c r="J376" s="18"/>
      <c r="K376" s="18"/>
      <c r="L376" s="13">
        <f t="shared" si="23"/>
        <v>10156.92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>
        <v>481215.87</v>
      </c>
      <c r="I379" s="18"/>
      <c r="J379" s="18"/>
      <c r="K379" s="18"/>
      <c r="L379" s="13">
        <f t="shared" si="23"/>
        <v>481215.87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491372.79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491372.79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>
        <v>4.17</v>
      </c>
      <c r="I391" s="18"/>
      <c r="J391" s="24" t="s">
        <v>289</v>
      </c>
      <c r="K391" s="24" t="s">
        <v>289</v>
      </c>
      <c r="L391" s="56">
        <f t="shared" si="25"/>
        <v>4.17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>
        <v>44.44</v>
      </c>
      <c r="I392" s="18"/>
      <c r="J392" s="24" t="s">
        <v>289</v>
      </c>
      <c r="K392" s="24" t="s">
        <v>289</v>
      </c>
      <c r="L392" s="56">
        <f t="shared" si="25"/>
        <v>44.44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48.61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48.61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100000</v>
      </c>
      <c r="H396" s="18">
        <v>34.68</v>
      </c>
      <c r="I396" s="18"/>
      <c r="J396" s="24" t="s">
        <v>289</v>
      </c>
      <c r="K396" s="24" t="s">
        <v>289</v>
      </c>
      <c r="L396" s="56">
        <f t="shared" si="26"/>
        <v>100034.68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>
        <v>10000</v>
      </c>
      <c r="H400" s="18"/>
      <c r="I400" s="18">
        <v>7056.13</v>
      </c>
      <c r="J400" s="24" t="s">
        <v>289</v>
      </c>
      <c r="K400" s="24" t="s">
        <v>289</v>
      </c>
      <c r="L400" s="56">
        <f t="shared" si="26"/>
        <v>17056.13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110000</v>
      </c>
      <c r="H401" s="47">
        <f>SUM(H395:H400)</f>
        <v>34.68</v>
      </c>
      <c r="I401" s="47">
        <f>SUM(I395:I400)</f>
        <v>7056.13</v>
      </c>
      <c r="J401" s="45" t="s">
        <v>289</v>
      </c>
      <c r="K401" s="45" t="s">
        <v>289</v>
      </c>
      <c r="L401" s="47">
        <f>SUM(L395:L400)</f>
        <v>117090.81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 t="s">
        <v>914</v>
      </c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>
        <v>3704.82</v>
      </c>
      <c r="I403" s="18">
        <v>17686.66</v>
      </c>
      <c r="J403" s="24" t="s">
        <v>289</v>
      </c>
      <c r="K403" s="24" t="s">
        <v>289</v>
      </c>
      <c r="L403" s="56">
        <f>SUM(F403:K403)</f>
        <v>21391.48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3704.82</v>
      </c>
      <c r="I407" s="47">
        <f>SUM(I403:I406)</f>
        <v>17686.66</v>
      </c>
      <c r="J407" s="49" t="s">
        <v>289</v>
      </c>
      <c r="K407" s="49" t="s">
        <v>289</v>
      </c>
      <c r="L407" s="47">
        <f>SUM(L403:L406)</f>
        <v>21391.48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110000</v>
      </c>
      <c r="H408" s="47">
        <f>H393+H401+H407</f>
        <v>3788.11</v>
      </c>
      <c r="I408" s="47">
        <f>I393+I401+I407</f>
        <v>24742.79</v>
      </c>
      <c r="J408" s="24" t="s">
        <v>289</v>
      </c>
      <c r="K408" s="24" t="s">
        <v>289</v>
      </c>
      <c r="L408" s="47">
        <f>L393+L401+L407</f>
        <v>138530.9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>
        <v>151372.79</v>
      </c>
      <c r="L422" s="56">
        <f t="shared" si="29"/>
        <v>151372.79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>
        <v>7056.13</v>
      </c>
      <c r="L426" s="56">
        <f t="shared" si="29"/>
        <v>7056.13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158428.92000000001</v>
      </c>
      <c r="L427" s="47">
        <f t="shared" si="30"/>
        <v>158428.92000000001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 t="s">
        <v>914</v>
      </c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>
        <v>3490</v>
      </c>
      <c r="J429" s="18"/>
      <c r="K429" s="18"/>
      <c r="L429" s="56">
        <f>SUM(F429:K429)</f>
        <v>3490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3490</v>
      </c>
      <c r="J433" s="47">
        <f t="shared" si="31"/>
        <v>0</v>
      </c>
      <c r="K433" s="47">
        <f t="shared" si="31"/>
        <v>0</v>
      </c>
      <c r="L433" s="47">
        <f t="shared" si="31"/>
        <v>3490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3490</v>
      </c>
      <c r="J434" s="47">
        <f t="shared" si="32"/>
        <v>0</v>
      </c>
      <c r="K434" s="47">
        <f t="shared" si="32"/>
        <v>158428.92000000001</v>
      </c>
      <c r="L434" s="47">
        <f t="shared" si="32"/>
        <v>161918.92000000001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>
        <v>202692.77</v>
      </c>
      <c r="I440" s="56">
        <f t="shared" si="33"/>
        <v>202692.77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>
        <v>10000</v>
      </c>
      <c r="H441" s="18"/>
      <c r="I441" s="56">
        <f t="shared" si="33"/>
        <v>10000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288263.89</v>
      </c>
      <c r="G442" s="18">
        <v>8265.7199999999993</v>
      </c>
      <c r="H442" s="18"/>
      <c r="I442" s="56">
        <f t="shared" si="33"/>
        <v>296529.61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288263.89</v>
      </c>
      <c r="G446" s="13">
        <f>SUM(G439:G445)</f>
        <v>18265.72</v>
      </c>
      <c r="H446" s="13">
        <f>SUM(H439:H445)</f>
        <v>202692.77</v>
      </c>
      <c r="I446" s="13">
        <f>SUM(I439:I445)</f>
        <v>509222.38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>
        <v>202692.77</v>
      </c>
      <c r="I457" s="56">
        <f t="shared" si="34"/>
        <v>202692.77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288263.89</v>
      </c>
      <c r="G459" s="18">
        <v>18265.72</v>
      </c>
      <c r="H459" s="18"/>
      <c r="I459" s="56">
        <f t="shared" si="34"/>
        <v>306529.61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288263.89</v>
      </c>
      <c r="G460" s="83">
        <f>SUM(G454:G459)</f>
        <v>18265.72</v>
      </c>
      <c r="H460" s="83">
        <f>SUM(H454:H459)</f>
        <v>202692.77</v>
      </c>
      <c r="I460" s="83">
        <f>SUM(I454:I459)</f>
        <v>509222.38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288263.89</v>
      </c>
      <c r="G461" s="42">
        <f>G452+G460</f>
        <v>18265.72</v>
      </c>
      <c r="H461" s="42">
        <f>H452+H460</f>
        <v>202692.77</v>
      </c>
      <c r="I461" s="42">
        <f>I452+I460</f>
        <v>509222.38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385225.13</v>
      </c>
      <c r="G465" s="18">
        <v>259.52</v>
      </c>
      <c r="H465" s="18">
        <v>0</v>
      </c>
      <c r="I465" s="18">
        <v>0</v>
      </c>
      <c r="J465" s="18">
        <v>532610.4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9785626.9100000001</v>
      </c>
      <c r="G468" s="18">
        <f>G193</f>
        <v>306292.74</v>
      </c>
      <c r="H468" s="18">
        <f>H193</f>
        <v>1235592.3400000001</v>
      </c>
      <c r="I468" s="18">
        <f>I193</f>
        <v>491372.79000000004</v>
      </c>
      <c r="J468" s="18">
        <f>J193</f>
        <v>138530.9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9785626.9100000001</v>
      </c>
      <c r="G470" s="53">
        <f>SUM(G468:G469)</f>
        <v>306292.74</v>
      </c>
      <c r="H470" s="53">
        <f>SUM(H468:H469)</f>
        <v>1235592.3400000001</v>
      </c>
      <c r="I470" s="53">
        <f>SUM(I468:I469)</f>
        <v>491372.79000000004</v>
      </c>
      <c r="J470" s="53">
        <f>SUM(J468:J469)</f>
        <v>138530.9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9612073.9600000009</v>
      </c>
      <c r="G472" s="18">
        <f>L362</f>
        <v>310796.68</v>
      </c>
      <c r="H472" s="18">
        <f>L352</f>
        <v>1235592.3400000001</v>
      </c>
      <c r="I472" s="18">
        <f>L382</f>
        <v>491372.79</v>
      </c>
      <c r="J472" s="18">
        <f>L434</f>
        <v>161918.92000000001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9612073.9600000009</v>
      </c>
      <c r="G474" s="53">
        <f>SUM(G472:G473)</f>
        <v>310796.68</v>
      </c>
      <c r="H474" s="53">
        <f>SUM(H472:H473)</f>
        <v>1235592.3400000001</v>
      </c>
      <c r="I474" s="53">
        <f>SUM(I472:I473)</f>
        <v>491372.79</v>
      </c>
      <c r="J474" s="53">
        <f>SUM(J472:J473)</f>
        <v>161918.92000000001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558778.08000000007</v>
      </c>
      <c r="G476" s="53">
        <f>(G465+G470)- G474</f>
        <v>-4244.4199999999837</v>
      </c>
      <c r="H476" s="53">
        <f>(H465+H470)- H474</f>
        <v>0</v>
      </c>
      <c r="I476" s="53">
        <f>(I465+I470)- I474</f>
        <v>0</v>
      </c>
      <c r="J476" s="53">
        <f>(J465+J470)- J474</f>
        <v>509222.38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5300000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5.58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1855000</v>
      </c>
      <c r="G495" s="18"/>
      <c r="H495" s="18"/>
      <c r="I495" s="18"/>
      <c r="J495" s="18"/>
      <c r="K495" s="53">
        <f>SUM(F495:J495)</f>
        <v>1855000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265000</v>
      </c>
      <c r="G497" s="18"/>
      <c r="H497" s="18"/>
      <c r="I497" s="18"/>
      <c r="J497" s="18"/>
      <c r="K497" s="53">
        <f t="shared" si="35"/>
        <v>265000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1590000</v>
      </c>
      <c r="G498" s="204"/>
      <c r="H498" s="204"/>
      <c r="I498" s="204"/>
      <c r="J498" s="204"/>
      <c r="K498" s="205">
        <f t="shared" si="35"/>
        <v>1590000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316608.78000000003</v>
      </c>
      <c r="G499" s="18"/>
      <c r="H499" s="18"/>
      <c r="I499" s="18"/>
      <c r="J499" s="18"/>
      <c r="K499" s="53">
        <f t="shared" si="35"/>
        <v>316608.78000000003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1906608.78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1906608.78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265000</v>
      </c>
      <c r="G501" s="204"/>
      <c r="H501" s="204"/>
      <c r="I501" s="204"/>
      <c r="J501" s="204"/>
      <c r="K501" s="205">
        <f t="shared" si="35"/>
        <v>265000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90033.76</v>
      </c>
      <c r="G502" s="18"/>
      <c r="H502" s="18"/>
      <c r="I502" s="18"/>
      <c r="J502" s="18"/>
      <c r="K502" s="53">
        <f t="shared" si="35"/>
        <v>90033.76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355033.76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355033.76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567698.07999999996</v>
      </c>
      <c r="G521" s="18">
        <v>235418.82</v>
      </c>
      <c r="H521" s="18">
        <v>39980.51</v>
      </c>
      <c r="I521" s="18">
        <v>4206.71</v>
      </c>
      <c r="J521" s="18">
        <v>882.35</v>
      </c>
      <c r="K521" s="18">
        <v>828.55</v>
      </c>
      <c r="L521" s="88">
        <f>SUM(F521:K521)</f>
        <v>849015.0199999999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277678.98</v>
      </c>
      <c r="G522" s="18">
        <v>95863.96</v>
      </c>
      <c r="H522" s="18">
        <v>184244.22</v>
      </c>
      <c r="I522" s="18">
        <v>942.75</v>
      </c>
      <c r="J522" s="18"/>
      <c r="K522" s="18">
        <v>220</v>
      </c>
      <c r="L522" s="88">
        <f>SUM(F522:K522)</f>
        <v>558949.91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235015.18</v>
      </c>
      <c r="G523" s="18">
        <v>105525.92</v>
      </c>
      <c r="H523" s="18">
        <v>194189.44</v>
      </c>
      <c r="I523" s="18">
        <v>2209.59</v>
      </c>
      <c r="J523" s="18"/>
      <c r="K523" s="18">
        <v>408.55</v>
      </c>
      <c r="L523" s="88">
        <f>SUM(F523:K523)</f>
        <v>537348.68000000005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1080392.24</v>
      </c>
      <c r="G524" s="108">
        <f t="shared" ref="G524:L524" si="36">SUM(G521:G523)</f>
        <v>436808.7</v>
      </c>
      <c r="H524" s="108">
        <f t="shared" si="36"/>
        <v>418414.17000000004</v>
      </c>
      <c r="I524" s="108">
        <f t="shared" si="36"/>
        <v>7359.05</v>
      </c>
      <c r="J524" s="108">
        <f t="shared" si="36"/>
        <v>882.35</v>
      </c>
      <c r="K524" s="108">
        <f t="shared" si="36"/>
        <v>1457.1</v>
      </c>
      <c r="L524" s="89">
        <f t="shared" si="36"/>
        <v>1945313.6099999999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164012.5</v>
      </c>
      <c r="G526" s="18">
        <v>73122.86</v>
      </c>
      <c r="H526" s="18">
        <v>28943.32</v>
      </c>
      <c r="I526" s="18">
        <v>4997.96</v>
      </c>
      <c r="J526" s="18">
        <v>2955</v>
      </c>
      <c r="K526" s="18"/>
      <c r="L526" s="88">
        <f>SUM(F526:K526)</f>
        <v>274031.64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20233.86</v>
      </c>
      <c r="G527" s="18">
        <v>10159.49</v>
      </c>
      <c r="H527" s="18">
        <v>33400.51</v>
      </c>
      <c r="I527" s="18">
        <v>894.27</v>
      </c>
      <c r="J527" s="18"/>
      <c r="K527" s="18"/>
      <c r="L527" s="88">
        <f>SUM(F527:K527)</f>
        <v>64688.13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23284.23</v>
      </c>
      <c r="G528" s="18">
        <v>11444.52</v>
      </c>
      <c r="H528" s="18">
        <v>16158.87</v>
      </c>
      <c r="I528" s="18">
        <v>752.15</v>
      </c>
      <c r="J528" s="18"/>
      <c r="K528" s="18"/>
      <c r="L528" s="88">
        <f>SUM(F528:K528)</f>
        <v>51639.770000000004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207530.59</v>
      </c>
      <c r="G529" s="89">
        <f t="shared" ref="G529:L529" si="37">SUM(G526:G528)</f>
        <v>94726.87000000001</v>
      </c>
      <c r="H529" s="89">
        <f t="shared" si="37"/>
        <v>78502.7</v>
      </c>
      <c r="I529" s="89">
        <f t="shared" si="37"/>
        <v>6644.3799999999992</v>
      </c>
      <c r="J529" s="89">
        <f t="shared" si="37"/>
        <v>2955</v>
      </c>
      <c r="K529" s="89">
        <f t="shared" si="37"/>
        <v>0</v>
      </c>
      <c r="L529" s="89">
        <f t="shared" si="37"/>
        <v>390359.54000000004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37053</v>
      </c>
      <c r="G531" s="18">
        <v>20296.490000000002</v>
      </c>
      <c r="H531" s="18"/>
      <c r="I531" s="18"/>
      <c r="J531" s="18"/>
      <c r="K531" s="18"/>
      <c r="L531" s="88">
        <f>SUM(F531:K531)</f>
        <v>57349.490000000005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12968.55</v>
      </c>
      <c r="G532" s="18">
        <v>7103.77</v>
      </c>
      <c r="H532" s="18"/>
      <c r="I532" s="18"/>
      <c r="J532" s="18"/>
      <c r="K532" s="18"/>
      <c r="L532" s="88">
        <f>SUM(F532:K532)</f>
        <v>20072.32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24084.45</v>
      </c>
      <c r="G533" s="18">
        <v>13192.72</v>
      </c>
      <c r="H533" s="18"/>
      <c r="I533" s="18"/>
      <c r="J533" s="18"/>
      <c r="K533" s="18"/>
      <c r="L533" s="88">
        <f>SUM(F533:K533)</f>
        <v>37277.17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74106</v>
      </c>
      <c r="G534" s="89">
        <f t="shared" ref="G534:L534" si="38">SUM(G531:G533)</f>
        <v>40592.980000000003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114698.98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3465</v>
      </c>
      <c r="I536" s="18"/>
      <c r="J536" s="18"/>
      <c r="K536" s="18"/>
      <c r="L536" s="88">
        <f>SUM(F536:K536)</f>
        <v>3465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3465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3465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87683.1</v>
      </c>
      <c r="I541" s="18"/>
      <c r="J541" s="18"/>
      <c r="K541" s="18"/>
      <c r="L541" s="88">
        <f>SUM(F541:K541)</f>
        <v>87683.1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105137.08</v>
      </c>
      <c r="I542" s="18"/>
      <c r="J542" s="18"/>
      <c r="K542" s="18"/>
      <c r="L542" s="88">
        <f>SUM(F542:K542)</f>
        <v>105137.08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64148.12</v>
      </c>
      <c r="I543" s="18"/>
      <c r="J543" s="18"/>
      <c r="K543" s="18"/>
      <c r="L543" s="88">
        <f>SUM(F543:K543)</f>
        <v>64148.12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256968.3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256968.3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1362028.83</v>
      </c>
      <c r="G545" s="89">
        <f t="shared" ref="G545:L545" si="41">G524+G529+G534+G539+G544</f>
        <v>572128.55000000005</v>
      </c>
      <c r="H545" s="89">
        <f t="shared" si="41"/>
        <v>757350.17</v>
      </c>
      <c r="I545" s="89">
        <f t="shared" si="41"/>
        <v>14003.43</v>
      </c>
      <c r="J545" s="89">
        <f t="shared" si="41"/>
        <v>3837.35</v>
      </c>
      <c r="K545" s="89">
        <f t="shared" si="41"/>
        <v>1457.1</v>
      </c>
      <c r="L545" s="89">
        <f t="shared" si="41"/>
        <v>2710805.4299999997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849015.0199999999</v>
      </c>
      <c r="G549" s="87">
        <f>L526</f>
        <v>274031.64</v>
      </c>
      <c r="H549" s="87">
        <f>L531</f>
        <v>57349.490000000005</v>
      </c>
      <c r="I549" s="87">
        <f>L536</f>
        <v>3465</v>
      </c>
      <c r="J549" s="87">
        <f>L541</f>
        <v>87683.1</v>
      </c>
      <c r="K549" s="87">
        <f>SUM(F549:J549)</f>
        <v>1271544.25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558949.91</v>
      </c>
      <c r="G550" s="87">
        <f>L527</f>
        <v>64688.13</v>
      </c>
      <c r="H550" s="87">
        <f>L532</f>
        <v>20072.32</v>
      </c>
      <c r="I550" s="87">
        <f>L537</f>
        <v>0</v>
      </c>
      <c r="J550" s="87">
        <f>L542</f>
        <v>105137.08</v>
      </c>
      <c r="K550" s="87">
        <f>SUM(F550:J550)</f>
        <v>748847.44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537348.68000000005</v>
      </c>
      <c r="G551" s="87">
        <f>L528</f>
        <v>51639.770000000004</v>
      </c>
      <c r="H551" s="87">
        <f>L533</f>
        <v>37277.17</v>
      </c>
      <c r="I551" s="87">
        <f>L538</f>
        <v>0</v>
      </c>
      <c r="J551" s="87">
        <f>L543</f>
        <v>64148.12</v>
      </c>
      <c r="K551" s="87">
        <f>SUM(F551:J551)</f>
        <v>690413.74000000011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1945313.6099999999</v>
      </c>
      <c r="G552" s="89">
        <f t="shared" si="42"/>
        <v>390359.54000000004</v>
      </c>
      <c r="H552" s="89">
        <f t="shared" si="42"/>
        <v>114698.98</v>
      </c>
      <c r="I552" s="89">
        <f t="shared" si="42"/>
        <v>3465</v>
      </c>
      <c r="J552" s="89">
        <f t="shared" si="42"/>
        <v>256968.3</v>
      </c>
      <c r="K552" s="89">
        <f t="shared" si="42"/>
        <v>2710805.43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14385.6</v>
      </c>
      <c r="G562" s="18">
        <v>1127.8399999999999</v>
      </c>
      <c r="H562" s="18"/>
      <c r="I562" s="18"/>
      <c r="J562" s="18"/>
      <c r="K562" s="18"/>
      <c r="L562" s="88">
        <f>SUM(F562:K562)</f>
        <v>15513.44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14385.6</v>
      </c>
      <c r="G565" s="89">
        <f t="shared" si="44"/>
        <v>1127.8399999999999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15513.44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14385.6</v>
      </c>
      <c r="G571" s="89">
        <f t="shared" ref="G571:L571" si="46">G560+G565+G570</f>
        <v>1127.8399999999999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15513.44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>
        <v>1285</v>
      </c>
      <c r="I578" s="87">
        <f t="shared" si="47"/>
        <v>1285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3060</v>
      </c>
      <c r="G582" s="18">
        <v>154975.29999999999</v>
      </c>
      <c r="H582" s="18">
        <v>191223.22</v>
      </c>
      <c r="I582" s="87">
        <f t="shared" si="47"/>
        <v>349258.52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22326.11</v>
      </c>
      <c r="I584" s="87">
        <f t="shared" si="47"/>
        <v>22326.11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117050.87</v>
      </c>
      <c r="I591" s="18">
        <v>34858.800000000003</v>
      </c>
      <c r="J591" s="18">
        <v>61724.71</v>
      </c>
      <c r="K591" s="104">
        <f t="shared" ref="K591:K597" si="48">SUM(H591:J591)</f>
        <v>213634.37999999998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87683.1</v>
      </c>
      <c r="I592" s="18">
        <v>105137.08</v>
      </c>
      <c r="J592" s="18">
        <v>64148.12</v>
      </c>
      <c r="K592" s="104">
        <f t="shared" si="48"/>
        <v>256968.3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29454.2</v>
      </c>
      <c r="K593" s="104">
        <f t="shared" si="48"/>
        <v>29454.2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5509.7</v>
      </c>
      <c r="J594" s="18">
        <v>15767.9</v>
      </c>
      <c r="K594" s="104">
        <f t="shared" si="48"/>
        <v>21277.599999999999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>
        <v>804.2</v>
      </c>
      <c r="K595" s="104">
        <f t="shared" si="48"/>
        <v>804.2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204733.97</v>
      </c>
      <c r="I598" s="108">
        <f>SUM(I591:I597)</f>
        <v>145505.58000000002</v>
      </c>
      <c r="J598" s="108">
        <f>SUM(J591:J597)</f>
        <v>171899.13</v>
      </c>
      <c r="K598" s="108">
        <f>SUM(K591:K597)</f>
        <v>522138.67999999993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60812.69</v>
      </c>
      <c r="I604" s="18">
        <v>23012.38</v>
      </c>
      <c r="J604" s="18">
        <v>42318.91</v>
      </c>
      <c r="K604" s="104">
        <f>SUM(H604:J604)</f>
        <v>126143.98000000001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60812.69</v>
      </c>
      <c r="I605" s="108">
        <f>SUM(I602:I604)</f>
        <v>23012.38</v>
      </c>
      <c r="J605" s="108">
        <f>SUM(J602:J604)</f>
        <v>42318.91</v>
      </c>
      <c r="K605" s="108">
        <f>SUM(K602:K604)</f>
        <v>126143.98000000001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1404867.61</v>
      </c>
      <c r="H617" s="109">
        <f>SUM(F52)</f>
        <v>1404867.61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54771.520000000004</v>
      </c>
      <c r="H618" s="109">
        <f>SUM(G52)</f>
        <v>54771.520000000004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256798.45</v>
      </c>
      <c r="H619" s="109">
        <f>SUM(H52)</f>
        <v>256798.45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509222.38</v>
      </c>
      <c r="H621" s="109">
        <f>SUM(J52)</f>
        <v>509222.38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558778.08000000007</v>
      </c>
      <c r="H622" s="109">
        <f>F476</f>
        <v>558778.08000000007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-4244.420000000001</v>
      </c>
      <c r="H623" s="109">
        <f>G476</f>
        <v>-4244.4199999999837</v>
      </c>
      <c r="I623" s="121" t="s">
        <v>102</v>
      </c>
      <c r="J623" s="109">
        <f t="shared" si="50"/>
        <v>-1.7280399333685637E-11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509222.38</v>
      </c>
      <c r="H626" s="109">
        <f>J476</f>
        <v>509222.38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9785626.9100000001</v>
      </c>
      <c r="H627" s="104">
        <f>SUM(F468)</f>
        <v>9785626.9100000001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306292.74</v>
      </c>
      <c r="H628" s="104">
        <f>SUM(G468)</f>
        <v>306292.74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1235592.3400000001</v>
      </c>
      <c r="H629" s="104">
        <f>SUM(H468)</f>
        <v>1235592.3400000001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491372.79000000004</v>
      </c>
      <c r="H630" s="104">
        <f>SUM(I468)</f>
        <v>491372.79000000004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138530.9</v>
      </c>
      <c r="H631" s="104">
        <f>SUM(J468)</f>
        <v>138530.9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9612073.9600000009</v>
      </c>
      <c r="H632" s="104">
        <f>SUM(F472)</f>
        <v>9612073.9600000009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1235592.3400000001</v>
      </c>
      <c r="H633" s="104">
        <f>SUM(H472)</f>
        <v>1235592.3400000001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14139.55</v>
      </c>
      <c r="H634" s="104">
        <f>I369</f>
        <v>14139.55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310796.68</v>
      </c>
      <c r="H635" s="104">
        <f>SUM(G472)</f>
        <v>310796.68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491372.79</v>
      </c>
      <c r="H636" s="104">
        <f>SUM(I472)</f>
        <v>491372.79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138530.9</v>
      </c>
      <c r="H637" s="164">
        <f>SUM(J468)</f>
        <v>138530.9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161918.92000000001</v>
      </c>
      <c r="H638" s="164">
        <f>SUM(J472)</f>
        <v>161918.92000000001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288263.89</v>
      </c>
      <c r="H639" s="104">
        <f>SUM(F461)</f>
        <v>288263.89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18265.72</v>
      </c>
      <c r="H640" s="104">
        <f>SUM(G461)</f>
        <v>18265.72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202692.77</v>
      </c>
      <c r="H641" s="104">
        <f>SUM(H461)</f>
        <v>202692.77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509222.38</v>
      </c>
      <c r="H642" s="104">
        <f>SUM(I461)</f>
        <v>509222.38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3788.11</v>
      </c>
      <c r="H644" s="104">
        <f>H408</f>
        <v>3788.11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110000</v>
      </c>
      <c r="H645" s="104">
        <f>G408</f>
        <v>110000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138530.9</v>
      </c>
      <c r="H646" s="104">
        <f>L408</f>
        <v>138530.9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522138.67999999993</v>
      </c>
      <c r="H647" s="104">
        <f>L208+L226+L244</f>
        <v>522138.68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126143.98000000001</v>
      </c>
      <c r="H648" s="104">
        <f>(J257+J338)-(J255+J336)</f>
        <v>126143.98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204733.97</v>
      </c>
      <c r="H649" s="104">
        <f>H598</f>
        <v>204733.97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145505.57999999999</v>
      </c>
      <c r="H650" s="104">
        <f>I598</f>
        <v>145505.58000000002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171899.13</v>
      </c>
      <c r="H651" s="104">
        <f>J598</f>
        <v>171899.13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340000</v>
      </c>
      <c r="H654" s="104">
        <f>K265+K346</f>
        <v>340000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110000</v>
      </c>
      <c r="H655" s="104">
        <f>K266+K347</f>
        <v>110000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4566447.47</v>
      </c>
      <c r="G660" s="19">
        <f>(L229+L309+L359)</f>
        <v>1935949.9500000002</v>
      </c>
      <c r="H660" s="19">
        <f>(L247+L328+L360)</f>
        <v>3831433.21</v>
      </c>
      <c r="I660" s="19">
        <f>SUM(F660:H660)</f>
        <v>10333830.629999999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43862.596844284184</v>
      </c>
      <c r="G661" s="19">
        <f>(L359/IF(SUM(L358:L360)=0,1,SUM(L358:L360))*(SUM(G97:G110)))</f>
        <v>17384.387052564398</v>
      </c>
      <c r="H661" s="19">
        <f>(L360/IF(SUM(L358:L360)=0,1,SUM(L358:L360))*(SUM(G97:G110)))</f>
        <v>35823.616103151428</v>
      </c>
      <c r="I661" s="19">
        <f>SUM(F661:H661)</f>
        <v>97070.6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206342.34</v>
      </c>
      <c r="G662" s="19">
        <f>(L226+L306)-(J226+J306)</f>
        <v>149601.75999999998</v>
      </c>
      <c r="H662" s="19">
        <f>(L244+L325)-(J244+J325)</f>
        <v>182221.75</v>
      </c>
      <c r="I662" s="19">
        <f>SUM(F662:H662)</f>
        <v>538165.85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63872.69</v>
      </c>
      <c r="G663" s="199">
        <f>SUM(G575:G587)+SUM(I602:I604)+L612</f>
        <v>177987.68</v>
      </c>
      <c r="H663" s="199">
        <f>SUM(H575:H587)+SUM(J602:J604)+L613</f>
        <v>257153.24000000002</v>
      </c>
      <c r="I663" s="19">
        <f>SUM(F663:H663)</f>
        <v>499013.61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4252369.8431557156</v>
      </c>
      <c r="G664" s="19">
        <f>G660-SUM(G661:G663)</f>
        <v>1590976.1229474358</v>
      </c>
      <c r="H664" s="19">
        <f>H660-SUM(H661:H663)</f>
        <v>3356234.6038968484</v>
      </c>
      <c r="I664" s="19">
        <f>I660-SUM(I661:I663)</f>
        <v>9199580.5699999984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274.08999999999997</v>
      </c>
      <c r="G665" s="248">
        <v>96.44</v>
      </c>
      <c r="H665" s="248">
        <v>158.46</v>
      </c>
      <c r="I665" s="19">
        <f>SUM(F665:H665)</f>
        <v>528.99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15514.5</v>
      </c>
      <c r="G667" s="19">
        <f>ROUND(G664/G665,2)</f>
        <v>16497.060000000001</v>
      </c>
      <c r="H667" s="19">
        <f>ROUND(H664/H665,2)</f>
        <v>21180.33</v>
      </c>
      <c r="I667" s="19">
        <f>ROUND(I664/I665,2)</f>
        <v>17390.84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-4.59</v>
      </c>
      <c r="I670" s="19">
        <f>SUM(F670:H670)</f>
        <v>-4.59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15514.5</v>
      </c>
      <c r="G672" s="19">
        <f>ROUND((G664+G669)/(G665+G670),2)</f>
        <v>16497.060000000001</v>
      </c>
      <c r="H672" s="19">
        <f>ROUND((H664+H669)/(H665+H670),2)</f>
        <v>21812.14</v>
      </c>
      <c r="I672" s="19">
        <f>ROUND((I664+I669)/(I665+I670),2)</f>
        <v>17543.060000000001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20" sqref="C2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PITTSFIELD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2094589.0800000003</v>
      </c>
      <c r="C9" s="229">
        <f>'DOE25'!G197+'DOE25'!G215+'DOE25'!G233+'DOE25'!G276+'DOE25'!G295+'DOE25'!G314</f>
        <v>988472.79000000015</v>
      </c>
    </row>
    <row r="10" spans="1:3" x14ac:dyDescent="0.2">
      <c r="A10" t="s">
        <v>779</v>
      </c>
      <c r="B10" s="240">
        <v>1822902.64</v>
      </c>
      <c r="C10" s="240">
        <v>927449.85</v>
      </c>
    </row>
    <row r="11" spans="1:3" x14ac:dyDescent="0.2">
      <c r="A11" t="s">
        <v>780</v>
      </c>
      <c r="B11" s="240">
        <v>115646.64</v>
      </c>
      <c r="C11" s="240">
        <v>26025.72</v>
      </c>
    </row>
    <row r="12" spans="1:3" x14ac:dyDescent="0.2">
      <c r="A12" t="s">
        <v>781</v>
      </c>
      <c r="B12" s="240">
        <v>156039.79999999999</v>
      </c>
      <c r="C12" s="240">
        <v>34997.22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2094589.0799999998</v>
      </c>
      <c r="C13" s="231">
        <f>SUM(C10:C12)</f>
        <v>988472.78999999992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1094777.83</v>
      </c>
      <c r="C18" s="229">
        <f>'DOE25'!G198+'DOE25'!G216+'DOE25'!G234+'DOE25'!G277+'DOE25'!G296+'DOE25'!G315</f>
        <v>452237.64999999997</v>
      </c>
    </row>
    <row r="19" spans="1:3" x14ac:dyDescent="0.2">
      <c r="A19" t="s">
        <v>779</v>
      </c>
      <c r="B19" s="240">
        <v>535002.03</v>
      </c>
      <c r="C19" s="240">
        <v>311226.55</v>
      </c>
    </row>
    <row r="20" spans="1:3" x14ac:dyDescent="0.2">
      <c r="A20" t="s">
        <v>780</v>
      </c>
      <c r="B20" s="240">
        <v>537872.09</v>
      </c>
      <c r="C20" s="240">
        <v>139335.47</v>
      </c>
    </row>
    <row r="21" spans="1:3" x14ac:dyDescent="0.2">
      <c r="A21" t="s">
        <v>781</v>
      </c>
      <c r="B21" s="240">
        <v>21903.71</v>
      </c>
      <c r="C21" s="240">
        <v>1675.63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1094777.83</v>
      </c>
      <c r="C22" s="231">
        <f>SUM(C19:C21)</f>
        <v>452237.65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65075.64</v>
      </c>
      <c r="C36" s="235">
        <f>'DOE25'!G200+'DOE25'!G218+'DOE25'!G236+'DOE25'!G279+'DOE25'!G298+'DOE25'!G317</f>
        <v>8189.9699999999993</v>
      </c>
    </row>
    <row r="37" spans="1:3" x14ac:dyDescent="0.2">
      <c r="A37" t="s">
        <v>779</v>
      </c>
      <c r="B37" s="240">
        <v>18686.72</v>
      </c>
      <c r="C37" s="240">
        <v>4185.45</v>
      </c>
    </row>
    <row r="38" spans="1:3" x14ac:dyDescent="0.2">
      <c r="A38" t="s">
        <v>780</v>
      </c>
      <c r="B38" s="240">
        <v>1970</v>
      </c>
      <c r="C38" s="240">
        <v>370.74</v>
      </c>
    </row>
    <row r="39" spans="1:3" x14ac:dyDescent="0.2">
      <c r="A39" t="s">
        <v>781</v>
      </c>
      <c r="B39" s="240">
        <v>44418.92</v>
      </c>
      <c r="C39" s="240">
        <v>3633.78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65075.64</v>
      </c>
      <c r="C40" s="231">
        <f>SUM(C37:C39)</f>
        <v>8189.9699999999993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PITTSFIELD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5013883.6400000006</v>
      </c>
      <c r="D5" s="20">
        <f>SUM('DOE25'!L197:L200)+SUM('DOE25'!L215:L218)+SUM('DOE25'!L233:L236)-F5-G5</f>
        <v>4987225.4200000009</v>
      </c>
      <c r="E5" s="243"/>
      <c r="F5" s="255">
        <f>SUM('DOE25'!J197:J200)+SUM('DOE25'!J215:J218)+SUM('DOE25'!J233:J236)</f>
        <v>5633.45</v>
      </c>
      <c r="G5" s="53">
        <f>SUM('DOE25'!K197:K200)+SUM('DOE25'!K215:K218)+SUM('DOE25'!K233:K236)</f>
        <v>21024.77</v>
      </c>
      <c r="H5" s="259"/>
    </row>
    <row r="6" spans="1:9" x14ac:dyDescent="0.2">
      <c r="A6" s="32">
        <v>2100</v>
      </c>
      <c r="B6" t="s">
        <v>801</v>
      </c>
      <c r="C6" s="245">
        <f t="shared" si="0"/>
        <v>712176.38</v>
      </c>
      <c r="D6" s="20">
        <f>'DOE25'!L202+'DOE25'!L220+'DOE25'!L238-F6-G6</f>
        <v>710703.38</v>
      </c>
      <c r="E6" s="243"/>
      <c r="F6" s="255">
        <f>'DOE25'!J202+'DOE25'!J220+'DOE25'!J238</f>
        <v>985</v>
      </c>
      <c r="G6" s="53">
        <f>'DOE25'!K202+'DOE25'!K220+'DOE25'!K238</f>
        <v>488</v>
      </c>
      <c r="H6" s="259"/>
    </row>
    <row r="7" spans="1:9" x14ac:dyDescent="0.2">
      <c r="A7" s="32">
        <v>2200</v>
      </c>
      <c r="B7" t="s">
        <v>834</v>
      </c>
      <c r="C7" s="245">
        <f t="shared" si="0"/>
        <v>457785.82000000007</v>
      </c>
      <c r="D7" s="20">
        <f>'DOE25'!L203+'DOE25'!L221+'DOE25'!L239-F7-G7</f>
        <v>333197.33000000007</v>
      </c>
      <c r="E7" s="243"/>
      <c r="F7" s="255">
        <f>'DOE25'!J203+'DOE25'!J221+'DOE25'!J239</f>
        <v>109855.63</v>
      </c>
      <c r="G7" s="53">
        <f>'DOE25'!K203+'DOE25'!K221+'DOE25'!K239</f>
        <v>14732.86</v>
      </c>
      <c r="H7" s="259"/>
    </row>
    <row r="8" spans="1:9" x14ac:dyDescent="0.2">
      <c r="A8" s="32">
        <v>2300</v>
      </c>
      <c r="B8" t="s">
        <v>802</v>
      </c>
      <c r="C8" s="245">
        <f t="shared" si="0"/>
        <v>103200.64999999995</v>
      </c>
      <c r="D8" s="243"/>
      <c r="E8" s="20">
        <f>'DOE25'!L204+'DOE25'!L222+'DOE25'!L240-F8-G8-D9-D11</f>
        <v>95667.419999999955</v>
      </c>
      <c r="F8" s="255">
        <f>'DOE25'!J204+'DOE25'!J222+'DOE25'!J240</f>
        <v>803.59</v>
      </c>
      <c r="G8" s="53">
        <f>'DOE25'!K204+'DOE25'!K222+'DOE25'!K240</f>
        <v>6729.6399999999994</v>
      </c>
      <c r="H8" s="259"/>
    </row>
    <row r="9" spans="1:9" x14ac:dyDescent="0.2">
      <c r="A9" s="32">
        <v>2310</v>
      </c>
      <c r="B9" t="s">
        <v>818</v>
      </c>
      <c r="C9" s="245">
        <f t="shared" si="0"/>
        <v>33140.980000000003</v>
      </c>
      <c r="D9" s="244">
        <v>33140.980000000003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8400</v>
      </c>
      <c r="D10" s="243"/>
      <c r="E10" s="244">
        <v>8400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206487.67</v>
      </c>
      <c r="D11" s="244">
        <v>206487.67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763440.60000000009</v>
      </c>
      <c r="D12" s="20">
        <f>'DOE25'!L205+'DOE25'!L223+'DOE25'!L241-F12-G12</f>
        <v>759563.07000000007</v>
      </c>
      <c r="E12" s="243"/>
      <c r="F12" s="255">
        <f>'DOE25'!J205+'DOE25'!J223+'DOE25'!J241</f>
        <v>1546.8600000000001</v>
      </c>
      <c r="G12" s="53">
        <f>'DOE25'!K205+'DOE25'!K223+'DOE25'!K241</f>
        <v>2330.67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980210.78</v>
      </c>
      <c r="D14" s="20">
        <f>'DOE25'!L207+'DOE25'!L225+'DOE25'!L243-F14-G14</f>
        <v>977992.3</v>
      </c>
      <c r="E14" s="243"/>
      <c r="F14" s="255">
        <f>'DOE25'!J207+'DOE25'!J225+'DOE25'!J243</f>
        <v>1994.19</v>
      </c>
      <c r="G14" s="53">
        <f>'DOE25'!K207+'DOE25'!K225+'DOE25'!K243</f>
        <v>224.29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522138.68</v>
      </c>
      <c r="D15" s="20">
        <f>'DOE25'!L208+'DOE25'!L226+'DOE25'!L244-F15-G15</f>
        <v>522138.68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369608.76</v>
      </c>
      <c r="D25" s="243"/>
      <c r="E25" s="243"/>
      <c r="F25" s="258"/>
      <c r="G25" s="256"/>
      <c r="H25" s="257">
        <f>'DOE25'!L260+'DOE25'!L261+'DOE25'!L341+'DOE25'!L342</f>
        <v>369608.76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296752.33999999997</v>
      </c>
      <c r="D29" s="20">
        <f>'DOE25'!L358+'DOE25'!L359+'DOE25'!L360-'DOE25'!I367-F29-G29</f>
        <v>296752.33999999997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1230568.75</v>
      </c>
      <c r="D31" s="20">
        <f>'DOE25'!L290+'DOE25'!L309+'DOE25'!L328+'DOE25'!L333+'DOE25'!L334+'DOE25'!L335-F31-G31</f>
        <v>1224537.3899999999</v>
      </c>
      <c r="E31" s="243"/>
      <c r="F31" s="255">
        <f>'DOE25'!J290+'DOE25'!J309+'DOE25'!J328+'DOE25'!J333+'DOE25'!J334+'DOE25'!J335</f>
        <v>5325.2599999999993</v>
      </c>
      <c r="G31" s="53">
        <f>'DOE25'!K290+'DOE25'!K309+'DOE25'!K328+'DOE25'!K333+'DOE25'!K334+'DOE25'!K335</f>
        <v>706.1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10051738.560000002</v>
      </c>
      <c r="E33" s="246">
        <f>SUM(E5:E31)</f>
        <v>104067.41999999995</v>
      </c>
      <c r="F33" s="246">
        <f>SUM(F5:F31)</f>
        <v>126143.98</v>
      </c>
      <c r="G33" s="246">
        <f>SUM(G5:G31)</f>
        <v>46236.33</v>
      </c>
      <c r="H33" s="246">
        <f>SUM(H5:H31)</f>
        <v>369608.76</v>
      </c>
    </row>
    <row r="35" spans="2:8" ht="12" thickBot="1" x14ac:dyDescent="0.25">
      <c r="B35" s="253" t="s">
        <v>847</v>
      </c>
      <c r="D35" s="254">
        <f>E33</f>
        <v>104067.41999999995</v>
      </c>
      <c r="E35" s="249"/>
    </row>
    <row r="36" spans="2:8" ht="12" thickTop="1" x14ac:dyDescent="0.2">
      <c r="B36" t="s">
        <v>815</v>
      </c>
      <c r="D36" s="20">
        <f>D33</f>
        <v>10051738.560000002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PITTSFIELD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1213980.05</v>
      </c>
      <c r="D8" s="95">
        <f>'DOE25'!G9</f>
        <v>8745.1200000000008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202692.77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126316.77</v>
      </c>
      <c r="D11" s="95">
        <f>'DOE25'!G12</f>
        <v>170</v>
      </c>
      <c r="E11" s="95">
        <f>'DOE25'!H12</f>
        <v>6971.69</v>
      </c>
      <c r="F11" s="95">
        <f>'DOE25'!I12</f>
        <v>0</v>
      </c>
      <c r="G11" s="95">
        <f>'DOE25'!J12</f>
        <v>10000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30086</v>
      </c>
      <c r="D12" s="95">
        <f>'DOE25'!G13</f>
        <v>40243.03</v>
      </c>
      <c r="E12" s="95">
        <f>'DOE25'!H13</f>
        <v>249826.76</v>
      </c>
      <c r="F12" s="95">
        <f>'DOE25'!I13</f>
        <v>0</v>
      </c>
      <c r="G12" s="95">
        <f>'DOE25'!J13</f>
        <v>296529.61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34484.79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5613.37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1404867.61</v>
      </c>
      <c r="D18" s="41">
        <f>SUM(D8:D17)</f>
        <v>54771.520000000004</v>
      </c>
      <c r="E18" s="41">
        <f>SUM(E8:E17)</f>
        <v>256798.45</v>
      </c>
      <c r="F18" s="41">
        <f>SUM(F8:F17)</f>
        <v>0</v>
      </c>
      <c r="G18" s="41">
        <f>SUM(G8:G17)</f>
        <v>509222.38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24101.67</v>
      </c>
      <c r="D21" s="95">
        <f>'DOE25'!G22</f>
        <v>35873.79</v>
      </c>
      <c r="E21" s="95">
        <f>'DOE25'!H22</f>
        <v>90442.98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190808.53</v>
      </c>
      <c r="D23" s="95">
        <f>'DOE25'!G24</f>
        <v>23142.15</v>
      </c>
      <c r="E23" s="95">
        <f>'DOE25'!H24</f>
        <v>1505.57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631179.32999999996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164849.9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846089.53</v>
      </c>
      <c r="D31" s="41">
        <f>SUM(D21:D30)</f>
        <v>59015.94</v>
      </c>
      <c r="E31" s="41">
        <f>SUM(E21:E30)</f>
        <v>256798.45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5613.37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202692.77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-9857.7900000000009</v>
      </c>
      <c r="E47" s="95">
        <f>'DOE25'!H48</f>
        <v>0</v>
      </c>
      <c r="F47" s="95">
        <f>'DOE25'!I48</f>
        <v>0</v>
      </c>
      <c r="G47" s="95">
        <f>'DOE25'!J48</f>
        <v>306529.61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408778.08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558778.08000000007</v>
      </c>
      <c r="D50" s="41">
        <f>SUM(D34:D49)</f>
        <v>-4244.420000000001</v>
      </c>
      <c r="E50" s="41">
        <f>SUM(E34:E49)</f>
        <v>0</v>
      </c>
      <c r="F50" s="41">
        <f>SUM(F34:F49)</f>
        <v>0</v>
      </c>
      <c r="G50" s="41">
        <f>SUM(G34:G49)</f>
        <v>509222.38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1404867.61</v>
      </c>
      <c r="D51" s="41">
        <f>D50+D31</f>
        <v>54771.520000000004</v>
      </c>
      <c r="E51" s="41">
        <f>E50+E31</f>
        <v>256798.45</v>
      </c>
      <c r="F51" s="41">
        <f>F50+F31</f>
        <v>0</v>
      </c>
      <c r="G51" s="41">
        <f>G50+G31</f>
        <v>509222.38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4391777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22558.35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141.54</v>
      </c>
      <c r="D59" s="95">
        <f>'DOE25'!G96</f>
        <v>5.56</v>
      </c>
      <c r="E59" s="95">
        <f>'DOE25'!H96</f>
        <v>0</v>
      </c>
      <c r="F59" s="95">
        <f>'DOE25'!I96</f>
        <v>0</v>
      </c>
      <c r="G59" s="95">
        <f>'DOE25'!J96</f>
        <v>3788.11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97070.6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158507.15</v>
      </c>
      <c r="D61" s="95">
        <f>SUM('DOE25'!G98:G110)</f>
        <v>0</v>
      </c>
      <c r="E61" s="95">
        <f>SUM('DOE25'!H98:H110)</f>
        <v>664918.09</v>
      </c>
      <c r="F61" s="95">
        <f>SUM('DOE25'!I98:I110)</f>
        <v>0</v>
      </c>
      <c r="G61" s="95">
        <f>SUM('DOE25'!J98:J110)</f>
        <v>24742.79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181207.03999999998</v>
      </c>
      <c r="D62" s="130">
        <f>SUM(D57:D61)</f>
        <v>97076.160000000003</v>
      </c>
      <c r="E62" s="130">
        <f>SUM(E57:E61)</f>
        <v>664918.09</v>
      </c>
      <c r="F62" s="130">
        <f>SUM(F57:F61)</f>
        <v>0</v>
      </c>
      <c r="G62" s="130">
        <f>SUM(G57:G61)</f>
        <v>28530.9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4572984.04</v>
      </c>
      <c r="D63" s="22">
        <f>D56+D62</f>
        <v>97076.160000000003</v>
      </c>
      <c r="E63" s="22">
        <f>E56+E62</f>
        <v>664918.09</v>
      </c>
      <c r="F63" s="22">
        <f>F56+F62</f>
        <v>0</v>
      </c>
      <c r="G63" s="22">
        <f>G56+G62</f>
        <v>28530.9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4209316.96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544235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4753551.96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100163.26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162443.20000000001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9687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3890.12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272293.46000000002</v>
      </c>
      <c r="D78" s="130">
        <f>SUM(D72:D77)</f>
        <v>3890.12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5025845.42</v>
      </c>
      <c r="D81" s="130">
        <f>SUM(D79:D80)+D78+D70</f>
        <v>3890.12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181773.86</v>
      </c>
      <c r="D88" s="95">
        <f>SUM('DOE25'!G153:G161)</f>
        <v>205326.46</v>
      </c>
      <c r="E88" s="95">
        <f>SUM('DOE25'!H153:H161)</f>
        <v>537068.3600000001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33605.89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181773.86</v>
      </c>
      <c r="D91" s="131">
        <f>SUM(D85:D90)</f>
        <v>205326.46</v>
      </c>
      <c r="E91" s="131">
        <f>SUM(E85:E90)</f>
        <v>570674.25000000012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340000</v>
      </c>
      <c r="G96" s="95">
        <f>'DOE25'!J179</f>
        <v>110000</v>
      </c>
    </row>
    <row r="97" spans="1:7" x14ac:dyDescent="0.2">
      <c r="A97" t="s">
        <v>758</v>
      </c>
      <c r="B97" s="32" t="s">
        <v>188</v>
      </c>
      <c r="C97" s="95">
        <f>SUM('DOE25'!F180:F181)</f>
        <v>5023.59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151372.79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5023.59</v>
      </c>
      <c r="D103" s="86">
        <f>SUM(D93:D102)</f>
        <v>0</v>
      </c>
      <c r="E103" s="86">
        <f>SUM(E93:E102)</f>
        <v>0</v>
      </c>
      <c r="F103" s="86">
        <f>SUM(F93:F102)</f>
        <v>491372.79000000004</v>
      </c>
      <c r="G103" s="86">
        <f>SUM(G93:G102)</f>
        <v>110000</v>
      </c>
    </row>
    <row r="104" spans="1:7" ht="12.75" thickTop="1" thickBot="1" x14ac:dyDescent="0.25">
      <c r="A104" s="33" t="s">
        <v>765</v>
      </c>
      <c r="C104" s="86">
        <f>C63+C81+C91+C103</f>
        <v>9785626.9100000001</v>
      </c>
      <c r="D104" s="86">
        <f>D63+D81+D91+D103</f>
        <v>306292.74</v>
      </c>
      <c r="E104" s="86">
        <f>E63+E81+E91+E103</f>
        <v>1235592.3400000001</v>
      </c>
      <c r="F104" s="86">
        <f>F63+F81+F91+F103</f>
        <v>491372.79000000004</v>
      </c>
      <c r="G104" s="86">
        <f>G63+G81+G103</f>
        <v>138530.9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2952867.33</v>
      </c>
      <c r="D109" s="24" t="s">
        <v>289</v>
      </c>
      <c r="E109" s="95">
        <f>('DOE25'!L276)+('DOE25'!L295)+('DOE25'!L314)</f>
        <v>316928.13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1936784.87</v>
      </c>
      <c r="D110" s="24" t="s">
        <v>289</v>
      </c>
      <c r="E110" s="95">
        <f>('DOE25'!L277)+('DOE25'!L296)+('DOE25'!L315)</f>
        <v>38343.279999999999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22326.11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101905.33000000002</v>
      </c>
      <c r="D112" s="24" t="s">
        <v>289</v>
      </c>
      <c r="E112" s="95">
        <f>+('DOE25'!L279)+('DOE25'!L298)+('DOE25'!L317)</f>
        <v>7213.8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5013883.6400000006</v>
      </c>
      <c r="D115" s="86">
        <f>SUM(D109:D114)</f>
        <v>0</v>
      </c>
      <c r="E115" s="86">
        <f>SUM(E109:E114)</f>
        <v>362485.21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712176.38</v>
      </c>
      <c r="D118" s="24" t="s">
        <v>289</v>
      </c>
      <c r="E118" s="95">
        <f>+('DOE25'!L281)+('DOE25'!L300)+('DOE25'!L319)</f>
        <v>121657.5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457785.82000000007</v>
      </c>
      <c r="D119" s="24" t="s">
        <v>289</v>
      </c>
      <c r="E119" s="95">
        <f>+('DOE25'!L282)+('DOE25'!L301)+('DOE25'!L320)</f>
        <v>594344.49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342829.3</v>
      </c>
      <c r="D120" s="24" t="s">
        <v>289</v>
      </c>
      <c r="E120" s="95">
        <f>+('DOE25'!L283)+('DOE25'!L302)+('DOE25'!L321)</f>
        <v>21099.48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763440.60000000009</v>
      </c>
      <c r="D121" s="24" t="s">
        <v>289</v>
      </c>
      <c r="E121" s="95">
        <f>+('DOE25'!L284)+('DOE25'!L303)+('DOE25'!L322)</f>
        <v>112768.60999999999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980210.78</v>
      </c>
      <c r="D123" s="24" t="s">
        <v>289</v>
      </c>
      <c r="E123" s="95">
        <f>+('DOE25'!L286)+('DOE25'!L305)+('DOE25'!L324)</f>
        <v>2186.29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522138.68</v>
      </c>
      <c r="D124" s="24" t="s">
        <v>289</v>
      </c>
      <c r="E124" s="95">
        <f>+('DOE25'!L287)+('DOE25'!L306)+('DOE25'!L325)</f>
        <v>16027.170000000002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310796.68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3778581.560000001</v>
      </c>
      <c r="D128" s="86">
        <f>SUM(D118:D127)</f>
        <v>310796.68</v>
      </c>
      <c r="E128" s="86">
        <f>SUM(E118:E127)</f>
        <v>868083.54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491372.79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265000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104608.76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5023.59</v>
      </c>
      <c r="F134" s="95">
        <f>'DOE25'!K381</f>
        <v>0</v>
      </c>
      <c r="G134" s="95">
        <f>'DOE25'!K434</f>
        <v>158428.92000000001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340000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48.61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117090.81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21391.48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-28530.899999999994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819608.75999999989</v>
      </c>
      <c r="D144" s="141">
        <f>SUM(D130:D143)</f>
        <v>0</v>
      </c>
      <c r="E144" s="141">
        <f>SUM(E130:E143)</f>
        <v>5023.59</v>
      </c>
      <c r="F144" s="141">
        <f>SUM(F130:F143)</f>
        <v>491372.79</v>
      </c>
      <c r="G144" s="141">
        <f>SUM(G130:G143)</f>
        <v>158428.92000000001</v>
      </c>
    </row>
    <row r="145" spans="1:9" ht="12.75" thickTop="1" thickBot="1" x14ac:dyDescent="0.25">
      <c r="A145" s="33" t="s">
        <v>244</v>
      </c>
      <c r="C145" s="86">
        <f>(C115+C128+C144)</f>
        <v>9612073.9600000009</v>
      </c>
      <c r="D145" s="86">
        <f>(D115+D128+D144)</f>
        <v>310796.68</v>
      </c>
      <c r="E145" s="86">
        <f>(E115+E128+E144)</f>
        <v>1235592.3400000001</v>
      </c>
      <c r="F145" s="86">
        <f>(F115+F128+F144)</f>
        <v>491372.79</v>
      </c>
      <c r="G145" s="86">
        <f>(G115+G128+G144)</f>
        <v>158428.92000000001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12/99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01/20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5300000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5.58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1855000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1855000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265000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265000</v>
      </c>
    </row>
    <row r="159" spans="1:9" x14ac:dyDescent="0.2">
      <c r="A159" s="22" t="s">
        <v>35</v>
      </c>
      <c r="B159" s="137">
        <f>'DOE25'!F498</f>
        <v>1590000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1590000</v>
      </c>
    </row>
    <row r="160" spans="1:9" x14ac:dyDescent="0.2">
      <c r="A160" s="22" t="s">
        <v>36</v>
      </c>
      <c r="B160" s="137">
        <f>'DOE25'!F499</f>
        <v>316608.78000000003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316608.78000000003</v>
      </c>
    </row>
    <row r="161" spans="1:7" x14ac:dyDescent="0.2">
      <c r="A161" s="22" t="s">
        <v>37</v>
      </c>
      <c r="B161" s="137">
        <f>'DOE25'!F500</f>
        <v>1906608.78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1906608.78</v>
      </c>
    </row>
    <row r="162" spans="1:7" x14ac:dyDescent="0.2">
      <c r="A162" s="22" t="s">
        <v>38</v>
      </c>
      <c r="B162" s="137">
        <f>'DOE25'!F501</f>
        <v>265000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265000</v>
      </c>
    </row>
    <row r="163" spans="1:7" x14ac:dyDescent="0.2">
      <c r="A163" s="22" t="s">
        <v>39</v>
      </c>
      <c r="B163" s="137">
        <f>'DOE25'!F502</f>
        <v>90033.76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90033.76</v>
      </c>
    </row>
    <row r="164" spans="1:7" x14ac:dyDescent="0.2">
      <c r="A164" s="22" t="s">
        <v>246</v>
      </c>
      <c r="B164" s="137">
        <f>'DOE25'!F503</f>
        <v>355033.76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355033.76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C4" sqref="C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PITTSFIELD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15515</v>
      </c>
    </row>
    <row r="5" spans="1:4" x14ac:dyDescent="0.2">
      <c r="B5" t="s">
        <v>704</v>
      </c>
      <c r="C5" s="179">
        <f>IF('DOE25'!G665+'DOE25'!G670=0,0,ROUND('DOE25'!G672,0))</f>
        <v>16497</v>
      </c>
    </row>
    <row r="6" spans="1:4" x14ac:dyDescent="0.2">
      <c r="B6" t="s">
        <v>62</v>
      </c>
      <c r="C6" s="179">
        <f>IF('DOE25'!H665+'DOE25'!H670=0,0,ROUND('DOE25'!H672,0))</f>
        <v>21812</v>
      </c>
    </row>
    <row r="7" spans="1:4" x14ac:dyDescent="0.2">
      <c r="B7" t="s">
        <v>705</v>
      </c>
      <c r="C7" s="179">
        <f>IF('DOE25'!I665+'DOE25'!I670=0,0,ROUND('DOE25'!I672,0))</f>
        <v>17543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3269795</v>
      </c>
      <c r="D10" s="182">
        <f>ROUND((C10/$C$28)*100,1)</f>
        <v>31.6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1975128</v>
      </c>
      <c r="D11" s="182">
        <f>ROUND((C11/$C$28)*100,1)</f>
        <v>19.100000000000001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22326</v>
      </c>
      <c r="D12" s="182">
        <f>ROUND((C12/$C$28)*100,1)</f>
        <v>0.2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109119</v>
      </c>
      <c r="D13" s="182">
        <f>ROUND((C13/$C$28)*100,1)</f>
        <v>1.1000000000000001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833834</v>
      </c>
      <c r="D15" s="182">
        <f t="shared" ref="D15:D27" si="0">ROUND((C15/$C$28)*100,1)</f>
        <v>8.1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1052130</v>
      </c>
      <c r="D16" s="182">
        <f t="shared" si="0"/>
        <v>10.199999999999999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363929</v>
      </c>
      <c r="D17" s="182">
        <f t="shared" si="0"/>
        <v>3.5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876209</v>
      </c>
      <c r="D18" s="182">
        <f t="shared" si="0"/>
        <v>8.5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982397</v>
      </c>
      <c r="D20" s="182">
        <f t="shared" si="0"/>
        <v>9.5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538166</v>
      </c>
      <c r="D21" s="182">
        <f t="shared" si="0"/>
        <v>5.2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104609</v>
      </c>
      <c r="D25" s="182">
        <f t="shared" si="0"/>
        <v>1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213726.4</v>
      </c>
      <c r="D27" s="182">
        <f t="shared" si="0"/>
        <v>2.1</v>
      </c>
    </row>
    <row r="28" spans="1:4" x14ac:dyDescent="0.2">
      <c r="B28" s="187" t="s">
        <v>723</v>
      </c>
      <c r="C28" s="180">
        <f>SUM(C10:C27)</f>
        <v>10341368.4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491373</v>
      </c>
    </row>
    <row r="30" spans="1:4" x14ac:dyDescent="0.2">
      <c r="B30" s="187" t="s">
        <v>729</v>
      </c>
      <c r="C30" s="180">
        <f>SUM(C28:C29)</f>
        <v>10832741.4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265000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4391777</v>
      </c>
      <c r="D35" s="182">
        <f t="shared" ref="D35:D40" si="1">ROUND((C35/$C$41)*100,1)</f>
        <v>39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874661.59000000078</v>
      </c>
      <c r="D36" s="182">
        <f t="shared" si="1"/>
        <v>7.8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4753552</v>
      </c>
      <c r="D37" s="182">
        <f t="shared" si="1"/>
        <v>42.2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276184</v>
      </c>
      <c r="D38" s="182">
        <f t="shared" si="1"/>
        <v>2.5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957775</v>
      </c>
      <c r="D39" s="182">
        <f t="shared" si="1"/>
        <v>8.5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11253949.59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7" sqref="A7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PITTSFIELD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>
        <v>3</v>
      </c>
      <c r="B4" s="219">
        <v>24</v>
      </c>
      <c r="C4" s="285" t="s">
        <v>915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2014-10-22T17:29:07Z</cp:lastPrinted>
  <dcterms:created xsi:type="dcterms:W3CDTF">1997-12-04T19:04:30Z</dcterms:created>
  <dcterms:modified xsi:type="dcterms:W3CDTF">2014-12-05T17:30:14Z</dcterms:modified>
</cp:coreProperties>
</file>