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B39" i="12"/>
  <c r="B20" i="12"/>
  <c r="B19" i="12"/>
  <c r="B11" i="12"/>
  <c r="H541" i="1"/>
  <c r="H521" i="1"/>
  <c r="K521" i="1"/>
  <c r="J521" i="1"/>
  <c r="I521" i="1"/>
  <c r="H526" i="1"/>
  <c r="G521" i="1"/>
  <c r="F521" i="1"/>
  <c r="H13" i="1"/>
  <c r="H358" i="1"/>
  <c r="I358" i="1"/>
  <c r="H604" i="1"/>
  <c r="I197" i="1"/>
  <c r="H204" i="1"/>
  <c r="I207" i="1"/>
  <c r="I204" i="1"/>
  <c r="H205" i="1"/>
  <c r="J197" i="1"/>
  <c r="I200" i="1"/>
  <c r="H202" i="1"/>
  <c r="G179" i="1"/>
  <c r="F117" i="1"/>
  <c r="J207" i="1"/>
  <c r="H207" i="1"/>
  <c r="G207" i="1"/>
  <c r="G204" i="1"/>
  <c r="G205" i="1"/>
  <c r="I205" i="1"/>
  <c r="F205" i="1"/>
  <c r="K204" i="1"/>
  <c r="J204" i="1"/>
  <c r="F204" i="1"/>
  <c r="I203" i="1"/>
  <c r="H203" i="1"/>
  <c r="G203" i="1"/>
  <c r="F203" i="1"/>
  <c r="J202" i="1"/>
  <c r="I202" i="1"/>
  <c r="G202" i="1"/>
  <c r="F202" i="1"/>
  <c r="F110" i="1"/>
  <c r="G200" i="1"/>
  <c r="F200" i="1"/>
  <c r="H198" i="1"/>
  <c r="J198" i="1"/>
  <c r="I198" i="1"/>
  <c r="G198" i="1"/>
  <c r="F198" i="1"/>
  <c r="K197" i="1"/>
  <c r="H197" i="1"/>
  <c r="G197" i="1"/>
  <c r="F197" i="1"/>
  <c r="F12" i="1"/>
  <c r="F9" i="1"/>
  <c r="F502" i="1" l="1"/>
  <c r="G502" i="1"/>
  <c r="G499" i="1"/>
  <c r="G498" i="1"/>
  <c r="G497" i="1"/>
  <c r="G495" i="1"/>
  <c r="F499" i="1"/>
  <c r="K261" i="1" l="1"/>
  <c r="K260" i="1"/>
  <c r="J465" i="1"/>
  <c r="J179" i="1"/>
  <c r="J96" i="1"/>
  <c r="D9" i="13"/>
  <c r="H159" i="1" l="1"/>
  <c r="H155" i="1"/>
  <c r="F277" i="1"/>
  <c r="F367" i="1"/>
  <c r="H208" i="1"/>
  <c r="F186" i="1" l="1"/>
  <c r="F185" i="1"/>
  <c r="F96" i="1"/>
  <c r="F57" i="1"/>
  <c r="H591" i="1"/>
  <c r="H592" i="1"/>
  <c r="H595" i="1"/>
  <c r="H594" i="1"/>
  <c r="F465" i="1"/>
  <c r="G465" i="1"/>
  <c r="J472" i="1"/>
  <c r="J468" i="1"/>
  <c r="G440" i="1"/>
  <c r="F440" i="1"/>
  <c r="H395" i="1"/>
  <c r="H29" i="1" l="1"/>
  <c r="F29" i="1"/>
  <c r="C45" i="2" l="1"/>
  <c r="C37" i="10" l="1"/>
  <c r="F40" i="2" l="1"/>
  <c r="D39" i="2"/>
  <c r="G655" i="1"/>
  <c r="F48" i="2"/>
  <c r="E48" i="2"/>
  <c r="D48" i="2"/>
  <c r="C48" i="2"/>
  <c r="F47" i="2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G47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48" i="1" s="1"/>
  <c r="G51" i="1" s="1"/>
  <c r="G52" i="1" s="1"/>
  <c r="H618" i="1" s="1"/>
  <c r="H19" i="1"/>
  <c r="G619" i="1" s="1"/>
  <c r="I19" i="1"/>
  <c r="F32" i="1"/>
  <c r="G32" i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I470" i="1"/>
  <c r="J470" i="1"/>
  <c r="G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3" i="1"/>
  <c r="G624" i="1"/>
  <c r="G625" i="1"/>
  <c r="H630" i="1"/>
  <c r="H631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C18" i="2"/>
  <c r="C26" i="10"/>
  <c r="L328" i="1"/>
  <c r="H660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G157" i="2"/>
  <c r="F18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6" i="13"/>
  <c r="H661" i="1" l="1"/>
  <c r="I661" i="1" s="1"/>
  <c r="D47" i="2"/>
  <c r="D50" i="2" s="1"/>
  <c r="D51" i="2" s="1"/>
  <c r="C13" i="10"/>
  <c r="C115" i="2"/>
  <c r="F50" i="1"/>
  <c r="F51" i="1" s="1"/>
  <c r="G622" i="1" s="1"/>
  <c r="G617" i="1"/>
  <c r="G164" i="2"/>
  <c r="K503" i="1"/>
  <c r="G161" i="2"/>
  <c r="J645" i="1"/>
  <c r="H33" i="13"/>
  <c r="K271" i="1"/>
  <c r="C11" i="10"/>
  <c r="J634" i="1"/>
  <c r="E33" i="13"/>
  <c r="D35" i="13" s="1"/>
  <c r="C128" i="2"/>
  <c r="L211" i="1"/>
  <c r="L257" i="1" s="1"/>
  <c r="L271" i="1" s="1"/>
  <c r="C81" i="2"/>
  <c r="C62" i="2"/>
  <c r="C63" i="2" s="1"/>
  <c r="J64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E145" i="2"/>
  <c r="L338" i="1"/>
  <c r="L352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F193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64" i="1" l="1"/>
  <c r="C49" i="2"/>
  <c r="C50" i="2" s="1"/>
  <c r="C51" i="2" s="1"/>
  <c r="F52" i="1"/>
  <c r="H617" i="1" s="1"/>
  <c r="J617" i="1" s="1"/>
  <c r="G629" i="1"/>
  <c r="H468" i="1"/>
  <c r="C28" i="10"/>
  <c r="D24" i="10" s="1"/>
  <c r="G633" i="1"/>
  <c r="H472" i="1"/>
  <c r="G672" i="1"/>
  <c r="C5" i="10" s="1"/>
  <c r="C145" i="2"/>
  <c r="G632" i="1"/>
  <c r="F472" i="1"/>
  <c r="H632" i="1" s="1"/>
  <c r="F660" i="1"/>
  <c r="F474" i="1"/>
  <c r="C104" i="2"/>
  <c r="G627" i="1"/>
  <c r="F468" i="1"/>
  <c r="G631" i="1"/>
  <c r="J631" i="1" s="1"/>
  <c r="D33" i="13"/>
  <c r="D36" i="13" s="1"/>
  <c r="J646" i="1"/>
  <c r="G193" i="1"/>
  <c r="G626" i="1"/>
  <c r="J626" i="1" s="1"/>
  <c r="J52" i="1"/>
  <c r="H621" i="1" s="1"/>
  <c r="J621" i="1" s="1"/>
  <c r="C38" i="10"/>
  <c r="H672" i="1" l="1"/>
  <c r="C6" i="10" s="1"/>
  <c r="H667" i="1"/>
  <c r="D23" i="10"/>
  <c r="D10" i="10"/>
  <c r="C30" i="10"/>
  <c r="D26" i="10"/>
  <c r="D16" i="10"/>
  <c r="H470" i="1"/>
  <c r="H629" i="1"/>
  <c r="J629" i="1"/>
  <c r="D13" i="10"/>
  <c r="D11" i="10"/>
  <c r="D21" i="10"/>
  <c r="D22" i="10"/>
  <c r="G628" i="1"/>
  <c r="G468" i="1"/>
  <c r="D27" i="10"/>
  <c r="D20" i="10"/>
  <c r="D18" i="10"/>
  <c r="D15" i="10"/>
  <c r="D17" i="10"/>
  <c r="D25" i="10"/>
  <c r="D12" i="10"/>
  <c r="D19" i="10"/>
  <c r="H474" i="1"/>
  <c r="H633" i="1"/>
  <c r="J633" i="1" s="1"/>
  <c r="J632" i="1"/>
  <c r="F664" i="1"/>
  <c r="I660" i="1"/>
  <c r="I664" i="1" s="1"/>
  <c r="I672" i="1" s="1"/>
  <c r="C7" i="10" s="1"/>
  <c r="F470" i="1"/>
  <c r="F476" i="1" s="1"/>
  <c r="H622" i="1" s="1"/>
  <c r="J622" i="1" s="1"/>
  <c r="H627" i="1"/>
  <c r="J627" i="1" s="1"/>
  <c r="C41" i="10"/>
  <c r="D38" i="10" s="1"/>
  <c r="D28" i="10" l="1"/>
  <c r="H476" i="1"/>
  <c r="H624" i="1" s="1"/>
  <c r="J624" i="1" s="1"/>
  <c r="H628" i="1"/>
  <c r="G470" i="1"/>
  <c r="G476" i="1" s="1"/>
  <c r="H623" i="1" s="1"/>
  <c r="J623" i="1" s="1"/>
  <c r="J628" i="1"/>
  <c r="I667" i="1"/>
  <c r="F667" i="1"/>
  <c r="F672" i="1"/>
  <c r="C4" i="10" s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<sst xmlns="http://schemas.openxmlformats.org/spreadsheetml/2006/main" count="3960" uniqueCount="917">
  <si>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</si>
  <si>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</si>
  <si>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</si>
  <si>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</si>
  <si>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</si>
  <si>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</si>
  <si>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</si>
  <si>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</si>
  <si>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</si>
  <si>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</si>
  <si>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</si>
  <si>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</si>
  <si>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</si>
  <si>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</si>
  <si>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</si>
  <si>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</si>
  <si>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</si>
  <si>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</si>
  <si>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</si>
  <si>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</si>
  <si>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</si>
  <si>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</si>
  <si>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</si>
  <si>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</si>
  <si>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</si>
  <si>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</si>
  <si>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</si>
  <si>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</si>
  <si>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</si>
  <si>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</si>
  <si>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</si>
  <si>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</si>
  <si>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</si>
  <si>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</si>
  <si>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</si>
  <si>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</si>
  <si>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</si>
  <si>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</si>
  <si>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</si>
  <si>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</si>
  <si>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</si>
  <si>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</si>
  <si>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</si>
  <si>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</si>
  <si>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</si>
  <si>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</si>
  <si>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</si>
  <si>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</si>
  <si>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</si>
  <si>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</si>
  <si>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</si>
  <si>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</si>
  <si>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</si>
  <si>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</si>
  <si>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</si>
  <si>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</si>
  <si>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</si>
  <si>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</si>
  <si>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</si>
  <si>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</si>
  <si>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</si>
  <si>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</si>
  <si>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</si>
  <si>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</si>
  <si>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</si>
  <si>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</si>
  <si>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</si>
  <si>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</si>
  <si>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</si>
  <si>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</si>
  <si>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</si>
  <si>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</si>
  <si>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</si>
  <si>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</si>
  <si>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</si>
  <si>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</si>
  <si>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</si>
  <si>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</si>
  <si>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</si>
  <si>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</si>
  <si>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</si>
  <si>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</si>
  <si>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</si>
  <si>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</si>
  <si>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</si>
  <si>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</si>
  <si>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</si>
  <si>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</si>
  <si>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</si>
  <si>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</si>
  <si>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</si>
  <si>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</si>
  <si>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</si>
  <si>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</si>
  <si>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</si>
  <si>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</si>
  <si>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</si>
  <si>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</si>
  <si>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</si>
  <si>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</si>
  <si>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</si>
  <si>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</si>
  <si>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</si>
  <si>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</si>
  <si>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</si>
  <si>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</si>
  <si>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</si>
  <si>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</si>
  <si>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</si>
  <si>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</si>
  <si>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</si>
  <si>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</si>
  <si>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</si>
  <si>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</si>
  <si>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</si>
  <si>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</si>
  <si>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</si>
  <si>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</si>
  <si>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</si>
  <si>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</si>
  <si>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</si>
  <si>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</si>
  <si>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</si>
  <si>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</si>
  <si>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</si>
  <si>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</si>
  <si>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</si>
  <si>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</si>
  <si>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</si>
  <si>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</si>
  <si>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</si>
  <si>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</si>
  <si>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</si>
  <si>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</si>
  <si>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</si>
  <si>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</si>
  <si>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</si>
  <si>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</si>
  <si>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</si>
  <si>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</si>
  <si>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</si>
  <si>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</si>
  <si>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</si>
  <si>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</si>
  <si>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</si>
  <si>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</si>
  <si>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</si>
  <si>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</si>
  <si>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</si>
  <si>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</si>
  <si>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</si>
  <si>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</si>
  <si>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</si>
  <si>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</si>
  <si>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</si>
  <si>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</si>
  <si>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</si>
  <si>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</si>
  <si>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</si>
  <si>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</si>
  <si>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</si>
  <si>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</si>
  <si>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</si>
  <si>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</si>
  <si>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</si>
  <si>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</si>
  <si>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</si>
  <si>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</si>
  <si>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</si>
  <si>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</si>
  <si>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</si>
  <si>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</si>
  <si>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</si>
  <si>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</si>
  <si>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</si>
  <si>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</si>
  <si>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</si>
  <si>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</si>
  <si>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</si>
  <si>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</si>
  <si>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</si>
  <si>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</si>
  <si>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</si>
  <si>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</si>
  <si>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</si>
  <si>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</si>
  <si>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</si>
  <si>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</si>
  <si>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</si>
  <si>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</si>
  <si>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</si>
  <si>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</si>
  <si>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</si>
  <si>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</si>
  <si>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</si>
  <si>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</si>
  <si>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</si>
  <si>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</si>
  <si>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</si>
  <si>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</si>
  <si>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</si>
  <si>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</si>
  <si>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</si>
  <si>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</si>
  <si>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</si>
  <si>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</si>
  <si>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</si>
  <si>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</si>
  <si>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</si>
  <si>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</si>
  <si>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</si>
  <si>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</si>
  <si>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</si>
  <si>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</si>
  <si>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</si>
  <si>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</si>
  <si>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</si>
  <si>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</si>
  <si>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</si>
  <si>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</si>
  <si>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</si>
  <si>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</si>
  <si>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</si>
  <si>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</si>
  <si>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</si>
  <si>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</si>
  <si>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</si>
  <si>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</si>
  <si>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</si>
  <si>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</si>
  <si>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</si>
  <si>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</si>
  <si>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</si>
  <si>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</si>
  <si>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</si>
  <si>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</si>
  <si>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</si>
  <si>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</si>
  <si>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</si>
  <si>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</si>
  <si>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</si>
  <si>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</si>
  <si>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</si>
  <si>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</si>
  <si>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</si>
  <si>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</si>
  <si>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</si>
  <si>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</si>
  <si>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</si>
  <si>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</si>
  <si>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</si>
  <si>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</si>
  <si>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</si>
  <si>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</si>
  <si>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</si>
  <si>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</si>
  <si>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</si>
  <si>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</si>
  <si>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</si>
  <si>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</si>
  <si>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</si>
  <si>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</si>
  <si>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</si>
  <si>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</si>
  <si>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</si>
  <si>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</si>
  <si>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</si>
  <si>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</si>
  <si>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</si>
  <si>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</si>
  <si>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</si>
  <si>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</si>
  <si>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</si>
  <si>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</si>
  <si>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</si>
  <si>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</si>
  <si>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</si>
  <si>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</si>
  <si>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</si>
  <si>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</si>
  <si>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</si>
  <si>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</si>
  <si>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</si>
  <si>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</si>
  <si>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</si>
  <si>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</si>
  <si>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</si>
  <si>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</si>
  <si>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</si>
  <si>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</si>
  <si>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</si>
  <si>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</si>
  <si>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</si>
  <si>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</si>
  <si>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</si>
  <si>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</si>
  <si>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</si>
  <si>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</si>
  <si>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</si>
  <si>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</si>
  <si>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</si>
  <si>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</si>
  <si>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</si>
  <si>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</si>
  <si>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</si>
  <si>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</si>
  <si>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</si>
  <si>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</si>
  <si>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</si>
  <si>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</si>
  <si>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</si>
  <si>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</si>
  <si>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</si>
  <si>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</si>
  <si>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</si>
  <si>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</si>
  <si>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</si>
  <si>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</si>
  <si>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</si>
  <si>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</si>
  <si>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</si>
  <si>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</si>
  <si>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</si>
  <si>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</si>
  <si>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</si>
  <si>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</si>
  <si>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</si>
  <si>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</si>
  <si>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</si>
  <si>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</si>
  <si>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</si>
  <si>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</si>
  <si>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</si>
  <si>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</si>
  <si>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</si>
  <si>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</si>
  <si>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</si>
  <si>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</si>
  <si>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</si>
  <si>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</si>
  <si>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</si>
  <si>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</si>
  <si>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</si>
  <si>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</si>
  <si>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</si>
  <si>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</si>
  <si>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</si>
  <si>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</si>
  <si>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</si>
  <si>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</si>
  <si>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</si>
  <si>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</si>
  <si>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</si>
  <si>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</si>
  <si>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</si>
  <si>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</si>
  <si>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</si>
  <si>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</si>
  <si>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</si>
  <si>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</si>
  <si>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</si>
  <si>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</si>
  <si>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</si>
  <si>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</si>
  <si>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</si>
  <si>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</si>
  <si>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</si>
  <si>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</si>
  <si>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</si>
  <si>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</si>
  <si>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</si>
  <si>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</si>
  <si>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</si>
  <si>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</si>
  <si>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</si>
  <si>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</si>
  <si>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</si>
  <si>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</si>
  <si>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</si>
  <si>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</si>
  <si>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</si>
  <si>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</si>
  <si>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</si>
  <si>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</si>
  <si>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</si>
  <si>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</si>
  <si>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</si>
  <si>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</si>
  <si>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</si>
  <si>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</si>
  <si>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</si>
  <si>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</si>
  <si>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</si>
  <si>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</si>
  <si>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</si>
  <si>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</si>
  <si>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</si>
  <si>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</si>
  <si>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</si>
  <si>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</si>
  <si>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</si>
  <si>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</si>
  <si>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</si>
  <si>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</si>
  <si>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</si>
  <si>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</si>
  <si>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</si>
  <si>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</si>
  <si>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</si>
  <si>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</si>
  <si>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</si>
  <si>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</si>
  <si>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</si>
  <si>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</si>
  <si>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</si>
  <si>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</si>
  <si>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</si>
  <si>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</si>
  <si>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</si>
  <si>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</si>
  <si>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</si>
  <si>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</si>
  <si>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</si>
  <si>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</si>
  <si>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</si>
  <si>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</si>
  <si>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</si>
  <si>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</si>
  <si>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</si>
  <si>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</si>
  <si>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</si>
  <si>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</si>
  <si>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</si>
  <si>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</si>
  <si>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</si>
  <si>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</si>
  <si>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</si>
  <si>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</si>
  <si>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</si>
  <si>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</si>
  <si>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</si>
  <si>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</si>
  <si>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</si>
  <si>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</si>
  <si>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</si>
  <si>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</si>
  <si>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</si>
  <si>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</si>
  <si>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</si>
  <si>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</si>
  <si>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</si>
  <si>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</si>
  <si>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</si>
  <si>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</si>
  <si>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</si>
  <si>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</si>
  <si>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</si>
  <si>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</si>
  <si>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</si>
  <si>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</si>
  <si>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</si>
  <si>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</si>
  <si>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</si>
  <si>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</si>
  <si>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</si>
  <si>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</si>
  <si>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</si>
  <si>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</si>
  <si>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</si>
  <si>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</si>
  <si>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</si>
  <si>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</si>
  <si>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</si>
  <si>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</si>
  <si>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</si>
  <si>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</si>
  <si>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</si>
  <si>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</si>
  <si>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</si>
  <si>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</si>
  <si>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</si>
  <si>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</si>
  <si>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</si>
  <si>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</si>
  <si>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</si>
  <si>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</si>
  <si>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</si>
  <si>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</si>
  <si>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</si>
  <si>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</si>
  <si>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</si>
  <si>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</si>
  <si>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</si>
  <si>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</si>
  <si>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</si>
  <si>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</si>
  <si>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</si>
  <si>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</si>
  <si>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</si>
  <si>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</si>
  <si>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</si>
  <si>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</si>
  <si>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</si>
  <si>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</si>
  <si>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</si>
  <si>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</si>
  <si>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</si>
  <si>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</si>
  <si>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</si>
  <si>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</si>
  <si>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</si>
  <si>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</si>
  <si>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</si>
  <si>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</si>
  <si>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</si>
  <si>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</si>
  <si>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</si>
  <si>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</si>
  <si>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</si>
  <si>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</si>
  <si>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</si>
  <si>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</si>
  <si>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</si>
  <si>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</si>
  <si>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</si>
  <si>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</si>
  <si>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</si>
  <si>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</si>
  <si>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</si>
  <si>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</si>
  <si>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</si>
  <si>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</si>
  <si>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</si>
  <si>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</si>
  <si>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</si>
  <si>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</si>
  <si>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</si>
  <si>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</si>
  <si>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</si>
  <si>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</si>
  <si>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</si>
  <si>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</si>
  <si>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</si>
  <si>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</si>
  <si>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</si>
  <si>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</si>
  <si>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</si>
  <si>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</si>
  <si>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</si>
  <si>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</si>
  <si>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</si>
  <si>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</si>
  <si>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</si>
  <si>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</si>
  <si>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</si>
  <si>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</si>
  <si>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</si>
  <si>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</si>
  <si>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</si>
  <si>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</si>
  <si>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</si>
  <si>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</si>
  <si>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</si>
  <si>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</si>
  <si>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</si>
  <si>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</si>
  <si>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</si>
  <si>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</si>
  <si>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</si>
  <si>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</si>
  <si>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</si>
  <si>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</si>
  <si>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</si>
  <si>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</si>
  <si>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</si>
  <si>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</si>
  <si>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</si>
  <si>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</si>
  <si>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</si>
  <si>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</si>
  <si>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</si>
  <si>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</si>
  <si>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</si>
  <si>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</si>
  <si>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</si>
  <si>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</si>
  <si>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</si>
  <si>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</si>
  <si>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</si>
  <si>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</si>
  <si>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</si>
  <si>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</si>
  <si>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</si>
  <si>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</si>
  <si>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</si>
  <si>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</si>
  <si>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</si>
  <si>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</si>
  <si>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</si>
  <si>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</si>
  <si>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</si>
  <si>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</si>
  <si>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</si>
  <si>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</si>
  <si>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</si>
  <si>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</si>
  <si>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</si>
  <si>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</si>
  <si>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</si>
  <si>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</si>
  <si>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</si>
  <si>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</si>
  <si>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</si>
  <si>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</si>
  <si>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</si>
  <si>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</si>
  <si>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</si>
  <si>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</si>
  <si>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</si>
  <si>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</si>
  <si>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</si>
  <si>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</si>
  <si>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</si>
  <si>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</si>
  <si>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</si>
  <si>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</si>
  <si>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</si>
  <si>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</si>
  <si>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</si>
  <si>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</si>
  <si>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</si>
  <si>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</si>
  <si>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</si>
  <si>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</si>
  <si>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</si>
  <si>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</si>
  <si>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</si>
  <si>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</si>
  <si>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</si>
  <si>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</si>
  <si>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</si>
  <si>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</si>
  <si>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</si>
  <si>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</si>
  <si>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</si>
  <si>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</si>
  <si>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</si>
  <si>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</si>
  <si>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</si>
  <si>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</si>
  <si>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</si>
  <si>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</si>
  <si>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</si>
  <si>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</si>
  <si>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</si>
  <si>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</si>
  <si>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</si>
  <si>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</si>
  <si>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</si>
  <si>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</si>
  <si>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</si>
  <si>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</si>
  <si>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</si>
  <si>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</si>
  <si>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</si>
  <si>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</si>
  <si>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</si>
  <si>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</si>
  <si>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</si>
  <si>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</si>
  <si>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</si>
  <si>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</si>
  <si>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</si>
  <si>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</si>
  <si>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</si>
  <si>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</si>
  <si>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</si>
  <si>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</si>
  <si>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</si>
  <si>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</si>
  <si>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</si>
  <si>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</si>
  <si>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</si>
  <si>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</si>
  <si>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</si>
  <si>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</si>
  <si>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</si>
  <si>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</si>
  <si>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</si>
  <si>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</si>
  <si>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</si>
  <si>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</si>
  <si>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</si>
  <si>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</si>
  <si>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</si>
  <si>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</si>
  <si>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</si>
  <si>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</si>
  <si>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</si>
  <si>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</si>
  <si>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</si>
  <si>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</si>
  <si>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</si>
  <si>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</si>
  <si>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</si>
  <si>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</si>
  <si>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</si>
  <si>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</si>
  <si>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</si>
  <si>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</si>
  <si>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</si>
  <si>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</si>
  <si>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</si>
  <si>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</si>
  <si>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</si>
  <si>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</si>
  <si>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</si>
  <si>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</si>
  <si>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</si>
  <si>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</si>
  <si>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</si>
  <si>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</si>
  <si>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</si>
  <si>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</si>
  <si>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</si>
  <si>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</si>
  <si>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</si>
  <si>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</si>
  <si>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</si>
  <si>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</si>
  <si>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</si>
  <si>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</si>
  <si>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</si>
  <si>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</si>
  <si>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</si>
  <si>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</si>
  <si>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</si>
  <si>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</si>
  <si>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</si>
  <si>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</si>
  <si>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</si>
  <si>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</si>
  <si>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</si>
  <si>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</si>
  <si>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</si>
  <si>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</si>
  <si>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</si>
  <si>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</si>
  <si>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</si>
  <si>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</si>
  <si>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</si>
  <si>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</si>
  <si>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</si>
  <si>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</si>
  <si>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</si>
  <si>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</si>
  <si>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</si>
  <si>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</si>
  <si>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</si>
  <si>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</si>
  <si>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</si>
  <si>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</si>
  <si>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</si>
  <si>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</si>
  <si>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</si>
  <si>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</si>
  <si>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</si>
  <si>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</si>
  <si>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</si>
  <si>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</si>
  <si>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</si>
  <si>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</si>
  <si>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</si>
  <si>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</si>
  <si>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</si>
  <si>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</si>
  <si>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</si>
  <si>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</si>
  <si>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</si>
  <si>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</si>
  <si>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</si>
  <si>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</si>
  <si>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</si>
  <si>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</si>
  <si>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</si>
  <si>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</si>
  <si>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</si>
  <si>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</si>
  <si>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</si>
  <si>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</si>
  <si>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</si>
  <si>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</si>
  <si>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</si>
  <si>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</si>
  <si>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</si>
  <si>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</si>
  <si>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</si>
  <si>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</si>
  <si>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</si>
  <si>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</si>
  <si>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</si>
  <si>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</si>
  <si>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</si>
  <si>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</si>
  <si>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</si>
  <si>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</si>
  <si>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</si>
  <si>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</si>
  <si>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</si>
  <si>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</si>
  <si>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</si>
  <si>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</si>
  <si>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</si>
  <si>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</si>
  <si>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</si>
  <si>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</si>
  <si>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</si>
  <si>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</si>
  <si>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</si>
  <si>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</si>
  <si>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</si>
  <si>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</si>
  <si>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</si>
  <si>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</si>
  <si>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</si>
  <si>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</si>
  <si>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</si>
  <si>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</si>
  <si>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</si>
  <si>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</si>
  <si>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</si>
  <si>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</si>
  <si>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</si>
  <si>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</si>
  <si>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</si>
  <si>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</si>
  <si>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</si>
  <si>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</si>
  <si>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</si>
  <si>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</si>
  <si>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</si>
  <si>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</si>
  <si>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</si>
  <si>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</si>
  <si>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</si>
  <si>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</si>
  <si>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</si>
  <si>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</si>
  <si>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</si>
  <si>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</si>
  <si>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</si>
  <si>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</si>
  <si>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</si>
  <si>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</si>
  <si>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</si>
  <si>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</si>
  <si>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</si>
  <si>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</si>
  <si>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</si>
  <si>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</si>
  <si>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</si>
  <si>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</si>
  <si>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</si>
  <si>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</si>
  <si>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</si>
  <si>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</si>
  <si>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</si>
  <si>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</si>
  <si>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</si>
  <si>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</si>
  <si>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</si>
  <si>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</si>
  <si>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</si>
  <si>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</si>
  <si>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</si>
  <si>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</si>
  <si>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</si>
  <si>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</si>
  <si>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</si>
  <si>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</si>
  <si>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</si>
  <si>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</si>
  <si>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</si>
  <si>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</si>
  <si>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</si>
  <si>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</si>
  <si>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</si>
  <si>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</si>
  <si>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</si>
  <si>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</si>
  <si>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</si>
  <si>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</si>
  <si>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</si>
  <si>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</si>
  <si>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</si>
  <si>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</si>
  <si>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</si>
  <si>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</si>
  <si>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</si>
  <si>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</si>
  <si>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</si>
  <si>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</si>
  <si>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</si>
  <si>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</si>
  <si>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</si>
  <si>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</si>
  <si>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</si>
  <si>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</si>
  <si>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</si>
  <si>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</si>
  <si>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</si>
  <si>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Plainfield School District</t>
  </si>
  <si>
    <t>12/10</t>
  </si>
  <si>
    <t>7/19/12</t>
  </si>
  <si>
    <t>1/21</t>
  </si>
  <si>
    <t>8/22</t>
  </si>
  <si>
    <t>Indirect Cost Rate - Superintendent cost includes Superintendent &amp; Secretary Salary, Benefits and Supplies.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</si>
</sst>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441</v>
      </c>
      <c r="C2" s="21">
        <v>441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492450.67+100+680.51+33787.9</f>
        <v>527019.07999999996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330704.98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0.4-1200+2059.48+4986.3-1769.85-118.76</f>
        <v>3957.57</v>
      </c>
      <c r="G12" s="18">
        <v>1769.85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576.9</v>
      </c>
      <c r="H13" s="18">
        <f>3175.92+2059.48-3616.69-3175.92+9101.31</f>
        <v>7544.0999999999985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3531.07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534507.71999999986</v>
      </c>
      <c r="G19" s="41">
        <f>SUM(G9:G18)</f>
        <v>2346.75</v>
      </c>
      <c r="H19" s="41">
        <f>SUM(H9:H18)</f>
        <v>7544.0999999999985</v>
      </c>
      <c r="I19" s="41">
        <f>SUM(I9:I18)</f>
        <v>0</v>
      </c>
      <c r="J19" s="41">
        <f>SUM(J9:J18)</f>
        <v>330704.98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v>5727.02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273507.90999999997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16179.56+1730.7+1761.42</f>
        <v>19671.68</v>
      </c>
      <c r="G29" s="18"/>
      <c r="H29" s="18">
        <f>118.76+405.4+92.92</f>
        <v>617.07999999999993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293179.58999999997</v>
      </c>
      <c r="G32" s="41">
        <f>SUM(G22:G31)</f>
        <v>0</v>
      </c>
      <c r="H32" s="41">
        <f>SUM(H22:H31)</f>
        <v>6344.1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G19-G32</f>
        <v>2346.75</v>
      </c>
      <c r="H48" s="18">
        <v>1200</v>
      </c>
      <c r="I48" s="18"/>
      <c r="J48" s="13">
        <f>SUM(I459)</f>
        <v>330704.98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17965.169999999998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F19-F32-F49</f>
        <v>223362.9599999999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241328.12999999989</v>
      </c>
      <c r="G51" s="41">
        <f>SUM(G35:G50)</f>
        <v>2346.75</v>
      </c>
      <c r="H51" s="41">
        <f>SUM(H35:H50)</f>
        <v>1200</v>
      </c>
      <c r="I51" s="41">
        <f>SUM(I35:I50)</f>
        <v>0</v>
      </c>
      <c r="J51" s="41">
        <f>SUM(J35:J50)</f>
        <v>330704.98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534507.71999999986</v>
      </c>
      <c r="G52" s="41">
        <f>G51+G32</f>
        <v>2346.75</v>
      </c>
      <c r="H52" s="41">
        <f>H51+H32</f>
        <v>7544.1</v>
      </c>
      <c r="I52" s="41">
        <f>I51+I32</f>
        <v>0</v>
      </c>
      <c r="J52" s="41">
        <f>J51+J32</f>
        <v>330704.98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4275951</f>
        <v>4275951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4275951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1.41+1.42+3.88+3.47-0.23+3.93+0.82+4.66+2.92+1.77+5.91+0.69+0.48</f>
        <v>31.130000000000003</v>
      </c>
      <c r="G96" s="18"/>
      <c r="H96" s="18"/>
      <c r="I96" s="18"/>
      <c r="J96" s="18">
        <f>H408</f>
        <v>1358.49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45454.7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580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1985.92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2926.71-246.12+13739.94</f>
        <v>16420.53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19017.579999999998</v>
      </c>
      <c r="G111" s="41">
        <f>SUM(G96:G110)</f>
        <v>45454.7</v>
      </c>
      <c r="H111" s="41">
        <f>SUM(H96:H110)</f>
        <v>0</v>
      </c>
      <c r="I111" s="41">
        <f>SUM(I96:I110)</f>
        <v>0</v>
      </c>
      <c r="J111" s="41">
        <f>SUM(J96:J110)</f>
        <v>1358.49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4294968.58</v>
      </c>
      <c r="G112" s="41">
        <f>G60+G111</f>
        <v>45454.7</v>
      </c>
      <c r="H112" s="41">
        <f>H60+H79+H94+H111</f>
        <v>0</v>
      </c>
      <c r="I112" s="41">
        <f>I60+I111</f>
        <v>0</v>
      </c>
      <c r="J112" s="41">
        <f>J60+J111</f>
        <v>1358.49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710696.01</f>
        <v>710696.01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686961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1397657.01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13834.44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5395.92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673.79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19230.36</v>
      </c>
      <c r="G136" s="41">
        <f>SUM(G123:G135)</f>
        <v>673.79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1416887.37</v>
      </c>
      <c r="G140" s="41">
        <f>G121+SUM(G136:G137)</f>
        <v>673.79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4298+29821.06</f>
        <v>34119.06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9198.64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47491+2059.48</f>
        <v>49550.48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20468.91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20468.91</v>
      </c>
      <c r="G162" s="41">
        <f>SUM(G150:G161)</f>
        <v>9198.64</v>
      </c>
      <c r="H162" s="41">
        <f>SUM(H150:H161)</f>
        <v>83669.540000000008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20468.91</v>
      </c>
      <c r="G169" s="41">
        <f>G147+G162+SUM(G163:G168)</f>
        <v>9198.64</v>
      </c>
      <c r="H169" s="41">
        <f>H147+H162+SUM(H163:H168)</f>
        <v>83669.540000000008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14151.6-792.28</f>
        <v>13359.32</v>
      </c>
      <c r="H179" s="18"/>
      <c r="I179" s="18"/>
      <c r="J179" s="18">
        <f>G408</f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13359.32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f>75000</f>
        <v>75000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f>37344</f>
        <v>37344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112344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112344</v>
      </c>
      <c r="G192" s="41">
        <f>G183+SUM(G188:G191)</f>
        <v>13359.32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5844668.8600000003</v>
      </c>
      <c r="G193" s="47">
        <f>G112+G140+G169+G192</f>
        <v>68686.45</v>
      </c>
      <c r="H193" s="47">
        <f>H112+H140+H169+H192</f>
        <v>83669.540000000008</v>
      </c>
      <c r="I193" s="47">
        <f>I112+I140+I169+I192</f>
        <v>0</v>
      </c>
      <c r="J193" s="47">
        <f>J112+J140+J192</f>
        <v>101358.49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1236877.9+15632.7+26499.53</f>
        <v>1279010.1299999999</v>
      </c>
      <c r="G197" s="18">
        <f>211625.52+27658.32+2115.73+4042.51+5750.38+95532.88+172215.31+12041.46</f>
        <v>530982.11</v>
      </c>
      <c r="H197" s="18">
        <f>7167.08</f>
        <v>7167.08</v>
      </c>
      <c r="I197" s="18">
        <f>22011.81+10286.84+13695.35+5009.85+7858.05-200.8-2274.7-193.1+2528.87</f>
        <v>58722.170000000006</v>
      </c>
      <c r="J197" s="18">
        <f>865.05+4991.53+6023.59-299.99</f>
        <v>11580.18</v>
      </c>
      <c r="K197" s="18">
        <f>10905.55</f>
        <v>10905.55</v>
      </c>
      <c r="L197" s="19">
        <f>SUM(F197:K197)</f>
        <v>1898367.2199999997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225783.4+286317.64+11215.37+8972.54</f>
        <v>532288.95000000007</v>
      </c>
      <c r="G198" s="18">
        <f>199436.3+15436.3+15438.29+834.48+1623.07+1250.08+36676.88+36212.39+3158.02</f>
        <v>310065.81</v>
      </c>
      <c r="H198" s="18">
        <f>6900+1875+5593+51685.2+1583+4243.9+1841.13+408.5+62000+7198+555.65+1175+37200+1740+2850</f>
        <v>186848.37999999998</v>
      </c>
      <c r="I198" s="18">
        <f>2052.8+122.08+226</f>
        <v>2400.88</v>
      </c>
      <c r="J198" s="18">
        <f>2495.82+186.72+1453.91</f>
        <v>4136.45</v>
      </c>
      <c r="K198" s="18">
        <v>831</v>
      </c>
      <c r="L198" s="19">
        <f>SUM(F198:K198)</f>
        <v>1036571.47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18295+4183.05+3300</f>
        <v>25778.05</v>
      </c>
      <c r="G200" s="18">
        <f>1723.93+2163.48</f>
        <v>3887.41</v>
      </c>
      <c r="H200" s="18"/>
      <c r="I200" s="18">
        <f>6010.01-110</f>
        <v>5900.01</v>
      </c>
      <c r="J200" s="18">
        <v>0</v>
      </c>
      <c r="K200" s="18">
        <v>993.9</v>
      </c>
      <c r="L200" s="19">
        <f>SUM(F200:K200)</f>
        <v>36559.370000000003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72690.9+61927</f>
        <v>134617.9</v>
      </c>
      <c r="G202" s="18">
        <f>14081.73+1202.62+124.02+235.84+5339.98+10293.1+19067.36+105.96+201.17+4454.06+8768.76+1857.7</f>
        <v>65732.3</v>
      </c>
      <c r="H202" s="18">
        <f>3500+49678+994.78-200</f>
        <v>53972.78</v>
      </c>
      <c r="I202" s="18">
        <f>475.88+504.83+395+905.91+2214.77+1272.78</f>
        <v>5769.1699999999992</v>
      </c>
      <c r="J202" s="18">
        <f>11420+3465+21800</f>
        <v>36685</v>
      </c>
      <c r="K202" s="18">
        <v>119</v>
      </c>
      <c r="L202" s="19">
        <f t="shared" ref="L202:L208" si="0">SUM(F202:K202)</f>
        <v>296896.15000000002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5905+6400+1960+34938+16681.45</f>
        <v>65884.45</v>
      </c>
      <c r="G203" s="18">
        <f>1018.67+1366.44+2110.42+96.67+187.5+3596.33+4947.02+650</f>
        <v>13973.050000000001</v>
      </c>
      <c r="H203" s="18">
        <f>8451.43+1760.09+1975+8924.26+907.33</f>
        <v>22018.11</v>
      </c>
      <c r="I203" s="18">
        <f>146.74+630.45+766.23+5094.35+986.49</f>
        <v>7624.26</v>
      </c>
      <c r="J203" s="18">
        <v>767.5</v>
      </c>
      <c r="K203" s="18">
        <v>250</v>
      </c>
      <c r="L203" s="19">
        <f t="shared" si="0"/>
        <v>110517.37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1550+500+1500+152967.5</f>
        <v>156517.5</v>
      </c>
      <c r="G204" s="18">
        <f>10597.93+917.97+259.64+515.28+11583.05+9440.11+1270.35+6.59+79.27</f>
        <v>34670.189999999988</v>
      </c>
      <c r="H204" s="18">
        <f>721+8950+8580.5+654.75+343.77+6363.48+1713.1+997.31+4347.89+1675.4-1500-1476.67-4202.5-275.41</f>
        <v>26892.62</v>
      </c>
      <c r="I204" s="18">
        <f>746.68+1189.82-300</f>
        <v>1636.5</v>
      </c>
      <c r="J204" s="18">
        <f>388.61+402.9+1961.83</f>
        <v>2753.34</v>
      </c>
      <c r="K204" s="18">
        <f>4261.18+4334.63+66.08+1010.38</f>
        <v>9672.27</v>
      </c>
      <c r="L204" s="19">
        <f t="shared" si="0"/>
        <v>232142.41999999998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91145.79+61357.6</f>
        <v>152503.38999999998</v>
      </c>
      <c r="G205" s="18">
        <f>30365.51+3333.72+252.44+501.46+10961.03+19514.25+4211.74+138631.7+7302.22+1550.82+3823.47+480+35.09+3333.19+16288.46</f>
        <v>240585.1</v>
      </c>
      <c r="H205" s="18">
        <f>9248.59+4321.71+2834.54+1485.16+872.22-932</f>
        <v>17830.22</v>
      </c>
      <c r="I205" s="18">
        <f>663.86</f>
        <v>663.86</v>
      </c>
      <c r="J205" s="18">
        <v>65</v>
      </c>
      <c r="K205" s="18">
        <v>2499</v>
      </c>
      <c r="L205" s="19">
        <f t="shared" si="0"/>
        <v>414146.56999999995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95548.57</v>
      </c>
      <c r="G207" s="18">
        <f>69.28+166.5+331.06+1294.04+7230.8+9863.05+200+9704</f>
        <v>28858.73</v>
      </c>
      <c r="H207" s="18">
        <f>40561.71+6000+50148.94+11157+356.29</f>
        <v>108223.93999999999</v>
      </c>
      <c r="I207" s="18">
        <f>14735.05+25200.85+16701.83-6000</f>
        <v>50637.729999999996</v>
      </c>
      <c r="J207" s="18">
        <f>4551.98+304.09+308.97</f>
        <v>5165.04</v>
      </c>
      <c r="K207" s="18">
        <v>600</v>
      </c>
      <c r="L207" s="19">
        <f t="shared" si="0"/>
        <v>289034.00999999995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30602.45+6965.82+2561.04+166360-H244</f>
        <v>181671.52</v>
      </c>
      <c r="I208" s="18"/>
      <c r="J208" s="18"/>
      <c r="K208" s="18"/>
      <c r="L208" s="19">
        <f t="shared" si="0"/>
        <v>181671.52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2442148.94</v>
      </c>
      <c r="G211" s="41">
        <f t="shared" si="1"/>
        <v>1228754.7</v>
      </c>
      <c r="H211" s="41">
        <f t="shared" si="1"/>
        <v>604624.64999999991</v>
      </c>
      <c r="I211" s="41">
        <f t="shared" si="1"/>
        <v>133354.57999999999</v>
      </c>
      <c r="J211" s="41">
        <f t="shared" si="1"/>
        <v>61152.51</v>
      </c>
      <c r="K211" s="41">
        <f t="shared" si="1"/>
        <v>25870.720000000001</v>
      </c>
      <c r="L211" s="41">
        <f t="shared" si="1"/>
        <v>4495906.0999999987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1172338.2</v>
      </c>
      <c r="I233" s="18"/>
      <c r="J233" s="18"/>
      <c r="K233" s="18"/>
      <c r="L233" s="19">
        <f>SUM(F233:K233)</f>
        <v>1172338.2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24817.79</v>
      </c>
      <c r="I244" s="18"/>
      <c r="J244" s="18"/>
      <c r="K244" s="18"/>
      <c r="L244" s="19">
        <f t="shared" si="4"/>
        <v>24817.79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1197155.99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1197155.99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2442148.94</v>
      </c>
      <c r="G257" s="41">
        <f t="shared" si="8"/>
        <v>1228754.7</v>
      </c>
      <c r="H257" s="41">
        <f t="shared" si="8"/>
        <v>1801780.64</v>
      </c>
      <c r="I257" s="41">
        <f t="shared" si="8"/>
        <v>133354.57999999999</v>
      </c>
      <c r="J257" s="41">
        <f t="shared" si="8"/>
        <v>61152.51</v>
      </c>
      <c r="K257" s="41">
        <f t="shared" si="8"/>
        <v>25870.720000000001</v>
      </c>
      <c r="L257" s="41">
        <f t="shared" si="8"/>
        <v>5693062.0899999989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35000+58500</f>
        <v>93500</v>
      </c>
      <c r="L260" s="19">
        <f>SUM(F260:K260)</f>
        <v>93500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9133.75+8256.25+4725+4725</f>
        <v>26840</v>
      </c>
      <c r="L261" s="19">
        <f>SUM(F261:K261)</f>
        <v>26840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13359.32</v>
      </c>
      <c r="L263" s="19">
        <f>SUM(F263:K263)</f>
        <v>13359.32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233699.32</v>
      </c>
      <c r="L270" s="41">
        <f t="shared" si="9"/>
        <v>233699.32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2442148.94</v>
      </c>
      <c r="G271" s="42">
        <f t="shared" si="11"/>
        <v>1228754.7</v>
      </c>
      <c r="H271" s="42">
        <f t="shared" si="11"/>
        <v>1801780.64</v>
      </c>
      <c r="I271" s="42">
        <f t="shared" si="11"/>
        <v>133354.57999999999</v>
      </c>
      <c r="J271" s="42">
        <f t="shared" si="11"/>
        <v>61152.51</v>
      </c>
      <c r="K271" s="42">
        <f t="shared" si="11"/>
        <v>259570.04</v>
      </c>
      <c r="L271" s="42">
        <f t="shared" si="11"/>
        <v>5926761.4099999992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20278.240000000002</v>
      </c>
      <c r="G276" s="18"/>
      <c r="H276" s="18">
        <v>4298</v>
      </c>
      <c r="I276" s="18" t="s">
        <v>287</v>
      </c>
      <c r="J276" s="18">
        <v>4086.33</v>
      </c>
      <c r="K276" s="18"/>
      <c r="L276" s="19">
        <f>SUM(F276:K276)</f>
        <v>28662.57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14200+1840</f>
        <v>16040</v>
      </c>
      <c r="G277" s="18">
        <v>33291</v>
      </c>
      <c r="H277" s="18"/>
      <c r="I277" s="18">
        <v>219.48</v>
      </c>
      <c r="J277" s="18"/>
      <c r="K277" s="18"/>
      <c r="L277" s="19">
        <f>SUM(F277:K277)</f>
        <v>49550.48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5456.49</v>
      </c>
      <c r="I282" s="18"/>
      <c r="J282" s="18"/>
      <c r="K282" s="18"/>
      <c r="L282" s="19">
        <f t="shared" si="12"/>
        <v>5456.49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36318.240000000005</v>
      </c>
      <c r="G290" s="42">
        <f t="shared" si="13"/>
        <v>33291</v>
      </c>
      <c r="H290" s="42">
        <f t="shared" si="13"/>
        <v>9754.49</v>
      </c>
      <c r="I290" s="42">
        <f t="shared" si="13"/>
        <v>219.48</v>
      </c>
      <c r="J290" s="42">
        <f t="shared" si="13"/>
        <v>4086.33</v>
      </c>
      <c r="K290" s="42">
        <f t="shared" si="13"/>
        <v>0</v>
      </c>
      <c r="L290" s="41">
        <f t="shared" si="13"/>
        <v>83669.540000000008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36318.240000000005</v>
      </c>
      <c r="G338" s="41">
        <f t="shared" si="20"/>
        <v>33291</v>
      </c>
      <c r="H338" s="41">
        <f t="shared" si="20"/>
        <v>9754.49</v>
      </c>
      <c r="I338" s="41">
        <f t="shared" si="20"/>
        <v>219.48</v>
      </c>
      <c r="J338" s="41">
        <f t="shared" si="20"/>
        <v>4086.33</v>
      </c>
      <c r="K338" s="41">
        <f t="shared" si="20"/>
        <v>0</v>
      </c>
      <c r="L338" s="41">
        <f t="shared" si="20"/>
        <v>83669.540000000008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36318.240000000005</v>
      </c>
      <c r="G352" s="41">
        <f>G338</f>
        <v>33291</v>
      </c>
      <c r="H352" s="41">
        <f>H338</f>
        <v>9754.49</v>
      </c>
      <c r="I352" s="41">
        <f>I338</f>
        <v>219.48</v>
      </c>
      <c r="J352" s="41">
        <f>J338</f>
        <v>4086.33</v>
      </c>
      <c r="K352" s="47">
        <f>K338+K351</f>
        <v>0</v>
      </c>
      <c r="L352" s="41">
        <f>L338+L351</f>
        <v>83669.540000000008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14107.5</v>
      </c>
      <c r="G358" s="18">
        <v>1144.19</v>
      </c>
      <c r="H358" s="18">
        <f>48859.56-19.17</f>
        <v>48840.39</v>
      </c>
      <c r="I358" s="18">
        <f>4231.39+343.81</f>
        <v>4575.2000000000007</v>
      </c>
      <c r="J358" s="18"/>
      <c r="K358" s="18"/>
      <c r="L358" s="13">
        <f>SUM(F358:K358)</f>
        <v>68667.28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14107.5</v>
      </c>
      <c r="G362" s="47">
        <f t="shared" si="22"/>
        <v>1144.19</v>
      </c>
      <c r="H362" s="47">
        <f t="shared" si="22"/>
        <v>48840.39</v>
      </c>
      <c r="I362" s="47">
        <f t="shared" si="22"/>
        <v>4575.2000000000007</v>
      </c>
      <c r="J362" s="47">
        <f t="shared" si="22"/>
        <v>0</v>
      </c>
      <c r="K362" s="47">
        <f t="shared" si="22"/>
        <v>0</v>
      </c>
      <c r="L362" s="47">
        <f t="shared" si="22"/>
        <v>68667.28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4231.39</f>
        <v>4231.3900000000003</v>
      </c>
      <c r="G367" s="18"/>
      <c r="H367" s="18"/>
      <c r="I367" s="56">
        <f>SUM(F367:H367)</f>
        <v>4231.3900000000003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343.81</v>
      </c>
      <c r="G368" s="63"/>
      <c r="H368" s="63"/>
      <c r="I368" s="56">
        <f>SUM(F368:H368)</f>
        <v>343.81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4575.2000000000007</v>
      </c>
      <c r="G369" s="47">
        <f>SUM(G367:G368)</f>
        <v>0</v>
      </c>
      <c r="H369" s="47">
        <f>SUM(H367:H368)</f>
        <v>0</v>
      </c>
      <c r="I369" s="47">
        <f>SUM(I367:I368)</f>
        <v>4575.2000000000007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405.89</v>
      </c>
      <c r="I389" s="18"/>
      <c r="J389" s="24" t="s">
        <v>289</v>
      </c>
      <c r="K389" s="24" t="s">
        <v>289</v>
      </c>
      <c r="L389" s="56">
        <f t="shared" si="25"/>
        <v>15405.89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54.67</v>
      </c>
      <c r="I390" s="18"/>
      <c r="J390" s="24" t="s">
        <v>289</v>
      </c>
      <c r="K390" s="24" t="s">
        <v>289</v>
      </c>
      <c r="L390" s="56">
        <f t="shared" si="25"/>
        <v>54.67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460.56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15460.56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f>124.6</f>
        <v>124.6</v>
      </c>
      <c r="I395" s="18"/>
      <c r="J395" s="24" t="s">
        <v>289</v>
      </c>
      <c r="K395" s="24" t="s">
        <v>289</v>
      </c>
      <c r="L395" s="56">
        <f t="shared" ref="L395:L400" si="26">SUM(F395:K395)</f>
        <v>124.6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85000</v>
      </c>
      <c r="H397" s="18">
        <v>773.33</v>
      </c>
      <c r="I397" s="18"/>
      <c r="J397" s="24" t="s">
        <v>289</v>
      </c>
      <c r="K397" s="24" t="s">
        <v>289</v>
      </c>
      <c r="L397" s="56">
        <f t="shared" si="26"/>
        <v>85773.33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897.93000000000006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85897.930000000008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1358.49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101358.49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75000</v>
      </c>
      <c r="L415" s="56">
        <f t="shared" si="27"/>
        <v>75000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75000</v>
      </c>
      <c r="L419" s="47">
        <f t="shared" si="28"/>
        <v>75000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37344</v>
      </c>
      <c r="L423" s="56">
        <f t="shared" si="29"/>
        <v>37344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37344</v>
      </c>
      <c r="L427" s="47">
        <f t="shared" si="30"/>
        <v>37344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112344</v>
      </c>
      <c r="L434" s="47">
        <f t="shared" si="32"/>
        <v>112344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65180.28+15067.91</f>
        <v>80248.19</v>
      </c>
      <c r="G440" s="18">
        <f>49727.75+200729.04</f>
        <v>250456.79</v>
      </c>
      <c r="H440" s="18"/>
      <c r="I440" s="56">
        <f t="shared" si="33"/>
        <v>330704.98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80248.19</v>
      </c>
      <c r="G446" s="13">
        <f>SUM(G439:G445)</f>
        <v>250456.79</v>
      </c>
      <c r="H446" s="13">
        <f>SUM(H439:H445)</f>
        <v>0</v>
      </c>
      <c r="I446" s="13">
        <f>SUM(I439:I445)</f>
        <v>330704.98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80248.19</v>
      </c>
      <c r="G459" s="18">
        <v>250456.79</v>
      </c>
      <c r="H459" s="18"/>
      <c r="I459" s="56">
        <f t="shared" si="34"/>
        <v>330704.98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80248.19</v>
      </c>
      <c r="G460" s="83">
        <f>SUM(G454:G459)</f>
        <v>250456.79</v>
      </c>
      <c r="H460" s="83">
        <f>SUM(H454:H459)</f>
        <v>0</v>
      </c>
      <c r="I460" s="83">
        <f>SUM(I454:I459)</f>
        <v>330704.98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80248.19</v>
      </c>
      <c r="G461" s="42">
        <f>G452+G460</f>
        <v>250456.79</v>
      </c>
      <c r="H461" s="42">
        <f>H452+H460</f>
        <v>0</v>
      </c>
      <c r="I461" s="42">
        <f>I452+I460</f>
        <v>330704.98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323420.68</f>
        <v>323420.68</v>
      </c>
      <c r="G465" s="18">
        <f>2327.58</f>
        <v>2327.58</v>
      </c>
      <c r="H465" s="18">
        <v>1200</v>
      </c>
      <c r="I465" s="18"/>
      <c r="J465" s="18">
        <f>124774.39+49603.15+152299.71+15013.24</f>
        <v>341690.49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5844668.8600000003</v>
      </c>
      <c r="G468" s="18">
        <f>G193</f>
        <v>68686.45</v>
      </c>
      <c r="H468" s="18">
        <f>H193</f>
        <v>83669.540000000008</v>
      </c>
      <c r="I468" s="18"/>
      <c r="J468" s="18">
        <f>L408</f>
        <v>101358.49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5844668.8600000003</v>
      </c>
      <c r="G470" s="53">
        <f>SUM(G468:G469)</f>
        <v>68686.45</v>
      </c>
      <c r="H470" s="53">
        <f>SUM(H468:H469)</f>
        <v>83669.540000000008</v>
      </c>
      <c r="I470" s="53">
        <f>SUM(I468:I469)</f>
        <v>0</v>
      </c>
      <c r="J470" s="53">
        <f>SUM(J468:J469)</f>
        <v>101358.49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5926761.4099999992</v>
      </c>
      <c r="G472" s="18">
        <f>L362</f>
        <v>68667.28</v>
      </c>
      <c r="H472" s="18">
        <f>L352</f>
        <v>83669.540000000008</v>
      </c>
      <c r="I472" s="18"/>
      <c r="J472" s="18">
        <f>L434</f>
        <v>112344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5926761.4099999992</v>
      </c>
      <c r="G474" s="53">
        <f>SUM(G472:G473)</f>
        <v>68667.28</v>
      </c>
      <c r="H474" s="53">
        <f>SUM(H472:H473)</f>
        <v>83669.540000000008</v>
      </c>
      <c r="I474" s="53">
        <f>SUM(I472:I473)</f>
        <v>0</v>
      </c>
      <c r="J474" s="53">
        <f>SUM(J472:J473)</f>
        <v>112344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241328.13000000082</v>
      </c>
      <c r="G476" s="53">
        <f>(G465+G470)- G474</f>
        <v>2346.75</v>
      </c>
      <c r="H476" s="53">
        <f>(H465+H470)- H474</f>
        <v>1200</v>
      </c>
      <c r="I476" s="53">
        <f>(I465+I470)- I474</f>
        <v>0</v>
      </c>
      <c r="J476" s="53">
        <f>(J465+J470)- J474</f>
        <v>330704.98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274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274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314800</v>
      </c>
      <c r="G493" s="18">
        <v>543500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</v>
      </c>
      <c r="G494" s="18">
        <v>2.3315000000000001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245000</v>
      </c>
      <c r="G495" s="18">
        <f>543500</f>
        <v>543500</v>
      </c>
      <c r="H495" s="18"/>
      <c r="I495" s="18"/>
      <c r="J495" s="18"/>
      <c r="K495" s="53">
        <f>SUM(F495:J495)</f>
        <v>788500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35000</v>
      </c>
      <c r="G497" s="18">
        <f>58500</f>
        <v>58500</v>
      </c>
      <c r="H497" s="18"/>
      <c r="I497" s="18"/>
      <c r="J497" s="18"/>
      <c r="K497" s="53">
        <f t="shared" si="35"/>
        <v>93500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210000</v>
      </c>
      <c r="G498" s="204">
        <f>G495-G497</f>
        <v>485000</v>
      </c>
      <c r="H498" s="204"/>
      <c r="I498" s="204"/>
      <c r="J498" s="204"/>
      <c r="K498" s="205">
        <f t="shared" si="35"/>
        <v>695000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4200+4200+3600+3600+6000+4800+3600+2400+1200</f>
        <v>33600</v>
      </c>
      <c r="G499" s="18">
        <f>103911.82-10453.07-9133.75-8256.25</f>
        <v>76068.75</v>
      </c>
      <c r="H499" s="18"/>
      <c r="I499" s="18"/>
      <c r="J499" s="18"/>
      <c r="K499" s="53">
        <f t="shared" si="35"/>
        <v>109668.75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243600</v>
      </c>
      <c r="G500" s="42">
        <f>SUM(G498:G499)</f>
        <v>561068.75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804668.75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30000</v>
      </c>
      <c r="G501" s="204">
        <v>55000</v>
      </c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8400</f>
        <v>8400</v>
      </c>
      <c r="G502" s="18">
        <f>8256.25+7156.25</f>
        <v>15412.5</v>
      </c>
      <c r="H502" s="18"/>
      <c r="I502" s="18"/>
      <c r="J502" s="18"/>
      <c r="K502" s="53">
        <f t="shared" si="35"/>
        <v>23812.5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38400</v>
      </c>
      <c r="G503" s="42">
        <f>SUM(G501:G502)</f>
        <v>70412.5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108812.5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225783.4+286317.64+11215.37+8972.54</f>
        <v>532288.95000000007</v>
      </c>
      <c r="G521" s="18">
        <f>199436.3+15438.29+834.48+1623.07+1250.08+36676.88+36212.39+3158.02</f>
        <v>294629.51</v>
      </c>
      <c r="H521" s="18">
        <f>6900+1875+62000+7198+555.65+1175+37200+1740+2850</f>
        <v>121493.65</v>
      </c>
      <c r="I521" s="18">
        <f>2052.8+122.08+226</f>
        <v>2400.88</v>
      </c>
      <c r="J521" s="18">
        <f>2495.82+186.72+1453.91</f>
        <v>4136.45</v>
      </c>
      <c r="K521" s="18">
        <f>831</f>
        <v>831</v>
      </c>
      <c r="L521" s="88">
        <f>SUM(F521:K521)</f>
        <v>955780.44000000006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532288.95000000007</v>
      </c>
      <c r="G524" s="108">
        <f t="shared" ref="G524:L524" si="36">SUM(G521:G523)</f>
        <v>294629.51</v>
      </c>
      <c r="H524" s="108">
        <f t="shared" si="36"/>
        <v>121493.65</v>
      </c>
      <c r="I524" s="108">
        <f t="shared" si="36"/>
        <v>2400.88</v>
      </c>
      <c r="J524" s="108">
        <f t="shared" si="36"/>
        <v>4136.45</v>
      </c>
      <c r="K524" s="108">
        <f t="shared" si="36"/>
        <v>831</v>
      </c>
      <c r="L524" s="89">
        <f t="shared" si="36"/>
        <v>955780.44000000006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5593+51685.2+1583+4243.9</f>
        <v>63105.1</v>
      </c>
      <c r="I526" s="18"/>
      <c r="J526" s="18"/>
      <c r="K526" s="18"/>
      <c r="L526" s="88">
        <f>SUM(F526:K526)</f>
        <v>63105.1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63105.1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63105.1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1841.13</v>
      </c>
      <c r="I531" s="18"/>
      <c r="J531" s="18"/>
      <c r="K531" s="18"/>
      <c r="L531" s="88">
        <f>SUM(F531:K531)</f>
        <v>1841.13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1841.13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1841.13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408.5</v>
      </c>
      <c r="I536" s="18"/>
      <c r="J536" s="18"/>
      <c r="K536" s="18"/>
      <c r="L536" s="88">
        <f>SUM(F536:K536)</f>
        <v>408.5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408.5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408.5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30602.45-6120.49</f>
        <v>24481.96</v>
      </c>
      <c r="I541" s="18"/>
      <c r="J541" s="18"/>
      <c r="K541" s="18"/>
      <c r="L541" s="88">
        <f>SUM(F541:K541)</f>
        <v>24481.96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6120.49</v>
      </c>
      <c r="I543" s="18"/>
      <c r="J543" s="18"/>
      <c r="K543" s="18"/>
      <c r="L543" s="88">
        <f>SUM(F543:K543)</f>
        <v>6120.49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30602.449999999997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30602.449999999997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532288.95000000007</v>
      </c>
      <c r="G545" s="89">
        <f t="shared" ref="G545:L545" si="41">G524+G529+G534+G539+G544</f>
        <v>294629.51</v>
      </c>
      <c r="H545" s="89">
        <f t="shared" si="41"/>
        <v>217450.83000000002</v>
      </c>
      <c r="I545" s="89">
        <f t="shared" si="41"/>
        <v>2400.88</v>
      </c>
      <c r="J545" s="89">
        <f t="shared" si="41"/>
        <v>4136.45</v>
      </c>
      <c r="K545" s="89">
        <f t="shared" si="41"/>
        <v>831</v>
      </c>
      <c r="L545" s="89">
        <f t="shared" si="41"/>
        <v>1051737.6200000001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955780.44000000006</v>
      </c>
      <c r="G549" s="87">
        <f>L526</f>
        <v>63105.1</v>
      </c>
      <c r="H549" s="87">
        <f>L531</f>
        <v>1841.13</v>
      </c>
      <c r="I549" s="87">
        <f>L536</f>
        <v>408.5</v>
      </c>
      <c r="J549" s="87">
        <f>L541</f>
        <v>24481.96</v>
      </c>
      <c r="K549" s="87">
        <f>SUM(F549:J549)</f>
        <v>1045617.13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6120.49</v>
      </c>
      <c r="K551" s="87">
        <f>SUM(F551:J551)</f>
        <v>6120.49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955780.44000000006</v>
      </c>
      <c r="G552" s="89">
        <f t="shared" si="42"/>
        <v>63105.1</v>
      </c>
      <c r="H552" s="89">
        <f t="shared" si="42"/>
        <v>1841.13</v>
      </c>
      <c r="I552" s="89">
        <f t="shared" si="42"/>
        <v>408.5</v>
      </c>
      <c r="J552" s="89">
        <f t="shared" si="42"/>
        <v>30602.449999999997</v>
      </c>
      <c r="K552" s="89">
        <f t="shared" si="42"/>
        <v>1051737.6200000001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1172215.31</v>
      </c>
      <c r="I575" s="87">
        <f>SUM(F575:H575)</f>
        <v>1172215.31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99200</v>
      </c>
      <c r="G580" s="18"/>
      <c r="H580" s="18">
        <v>0</v>
      </c>
      <c r="I580" s="87">
        <f t="shared" si="47"/>
        <v>99200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1740</v>
      </c>
      <c r="G582" s="18"/>
      <c r="H582" s="18"/>
      <c r="I582" s="87">
        <f t="shared" si="47"/>
        <v>1740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166360-18697.3</f>
        <v>147662.70000000001</v>
      </c>
      <c r="I591" s="18"/>
      <c r="J591" s="18">
        <v>18697.3</v>
      </c>
      <c r="K591" s="104">
        <f t="shared" ref="K591:K597" si="48">SUM(H591:J591)</f>
        <v>166360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24481.96</f>
        <v>24481.96</v>
      </c>
      <c r="I592" s="18"/>
      <c r="J592" s="18">
        <v>6120.49</v>
      </c>
      <c r="K592" s="104">
        <f t="shared" si="48"/>
        <v>30602.449999999997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2561.04</f>
        <v>2561.04</v>
      </c>
      <c r="I594" s="18"/>
      <c r="J594" s="18"/>
      <c r="K594" s="104">
        <f t="shared" si="48"/>
        <v>2561.04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6965.82</f>
        <v>6965.82</v>
      </c>
      <c r="I595" s="18"/>
      <c r="J595" s="18"/>
      <c r="K595" s="104">
        <f t="shared" si="48"/>
        <v>6965.82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181671.52000000002</v>
      </c>
      <c r="I598" s="108">
        <f>SUM(I591:I597)</f>
        <v>0</v>
      </c>
      <c r="J598" s="108">
        <f>SUM(J591:J597)</f>
        <v>24817.79</v>
      </c>
      <c r="K598" s="108">
        <f>SUM(K591:K597)</f>
        <v>206489.31000000003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11880.17+4136.45+36685+767.5+2753.34+65+5165.04+4086.33-299.99</f>
        <v>65238.839999999989</v>
      </c>
      <c r="I604" s="18"/>
      <c r="J604" s="18"/>
      <c r="K604" s="104">
        <f>SUM(H604:J604)</f>
        <v>65238.839999999989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65238.839999999989</v>
      </c>
      <c r="I605" s="108">
        <f>SUM(I602:I604)</f>
        <v>0</v>
      </c>
      <c r="J605" s="108">
        <f>SUM(J602:J604)</f>
        <v>0</v>
      </c>
      <c r="K605" s="108">
        <f>SUM(K602:K604)</f>
        <v>65238.839999999989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534507.71999999986</v>
      </c>
      <c r="H617" s="109">
        <f>SUM(F52)</f>
        <v>534507.71999999986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2346.75</v>
      </c>
      <c r="H618" s="109">
        <f>SUM(G52)</f>
        <v>2346.75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7544.0999999999985</v>
      </c>
      <c r="H619" s="109">
        <f>SUM(H52)</f>
        <v>7544.1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330704.98</v>
      </c>
      <c r="H621" s="109">
        <f>SUM(J52)</f>
        <v>330704.98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241328.12999999989</v>
      </c>
      <c r="H622" s="109">
        <f>F476</f>
        <v>241328.13000000082</v>
      </c>
      <c r="I622" s="121" t="s">
        <v>101</v>
      </c>
      <c r="J622" s="109">
        <f t="shared" ref="J622:J655" si="50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2346.75</v>
      </c>
      <c r="H623" s="109">
        <f>G476</f>
        <v>2346.75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1200</v>
      </c>
      <c r="H624" s="109">
        <f>H476</f>
        <v>1200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330704.98</v>
      </c>
      <c r="H626" s="109">
        <f>J476</f>
        <v>330704.98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5844668.8600000003</v>
      </c>
      <c r="H627" s="104">
        <f>SUM(F468)</f>
        <v>5844668.8600000003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68686.45</v>
      </c>
      <c r="H628" s="104">
        <f>SUM(G468)</f>
        <v>68686.45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83669.540000000008</v>
      </c>
      <c r="H629" s="104">
        <f>SUM(H468)</f>
        <v>83669.540000000008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101358.49</v>
      </c>
      <c r="H631" s="104">
        <f>SUM(J468)</f>
        <v>101358.49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5926761.4099999992</v>
      </c>
      <c r="H632" s="104">
        <f>SUM(F472)</f>
        <v>5926761.4099999992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83669.540000000008</v>
      </c>
      <c r="H633" s="104">
        <f>SUM(H472)</f>
        <v>83669.540000000008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4575.2000000000007</v>
      </c>
      <c r="H634" s="104">
        <f>I369</f>
        <v>4575.2000000000007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68667.28</v>
      </c>
      <c r="H635" s="104">
        <f>SUM(G472)</f>
        <v>68667.28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101358.49</v>
      </c>
      <c r="H637" s="164">
        <f>SUM(J468)</f>
        <v>101358.49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112344</v>
      </c>
      <c r="H638" s="164">
        <f>SUM(J472)</f>
        <v>112344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80248.19</v>
      </c>
      <c r="H639" s="104">
        <f>SUM(F461)</f>
        <v>80248.19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250456.79</v>
      </c>
      <c r="H640" s="104">
        <f>SUM(G461)</f>
        <v>250456.79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330704.98</v>
      </c>
      <c r="H642" s="104">
        <f>SUM(I461)</f>
        <v>330704.98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1358.49</v>
      </c>
      <c r="H644" s="104">
        <f>H408</f>
        <v>1358.49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101358.49</v>
      </c>
      <c r="H646" s="104">
        <f>L408</f>
        <v>101358.49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206489.31000000003</v>
      </c>
      <c r="H647" s="104">
        <f>L208+L226+L244</f>
        <v>206489.31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65238.839999999989</v>
      </c>
      <c r="H648" s="104">
        <f>(J257+J338)-(J255+J336)</f>
        <v>65238.840000000004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181671.52</v>
      </c>
      <c r="H649" s="104">
        <f>H598</f>
        <v>181671.52000000002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24817.79</v>
      </c>
      <c r="H651" s="104">
        <f>J598</f>
        <v>24817.79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13359.32</v>
      </c>
      <c r="H652" s="104">
        <f>K263+K345</f>
        <v>13359.32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4648242.919999999</v>
      </c>
      <c r="G660" s="19">
        <f>(L229+L309+L359)</f>
        <v>0</v>
      </c>
      <c r="H660" s="19">
        <f>(L247+L328+L360)</f>
        <v>1197155.99</v>
      </c>
      <c r="I660" s="19">
        <f>SUM(F660:H660)</f>
        <v>5845398.9099999992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45454.7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45454.7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181671.52</v>
      </c>
      <c r="G662" s="19">
        <f>(L226+L306)-(J226+J306)</f>
        <v>0</v>
      </c>
      <c r="H662" s="19">
        <f>(L244+L325)-(J244+J325)</f>
        <v>24817.79</v>
      </c>
      <c r="I662" s="19">
        <f>SUM(F662:H662)</f>
        <v>206489.31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166178.84</v>
      </c>
      <c r="G663" s="199">
        <f>SUM(G575:G587)+SUM(I602:I604)+L612</f>
        <v>0</v>
      </c>
      <c r="H663" s="199">
        <f>SUM(H575:H587)+SUM(J602:J604)+L613</f>
        <v>1172215.31</v>
      </c>
      <c r="I663" s="19">
        <f>SUM(F663:H663)</f>
        <v>1338394.1500000001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4254937.8599999994</v>
      </c>
      <c r="G664" s="19">
        <f>G660-SUM(G661:G663)</f>
        <v>0</v>
      </c>
      <c r="H664" s="19">
        <f>H660-SUM(H661:H663)</f>
        <v>122.88999999989755</v>
      </c>
      <c r="I664" s="19">
        <f>I660-SUM(I661:I663)</f>
        <v>4255060.7499999991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209.56</v>
      </c>
      <c r="G665" s="248"/>
      <c r="H665" s="248"/>
      <c r="I665" s="19">
        <f>SUM(F665:H665)</f>
        <v>209.56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20304.150000000001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20304.740000000002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-122.89</v>
      </c>
      <c r="I669" s="19">
        <f>SUM(F669:H669)</f>
        <v>-122.89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20304.150000000001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20304.150000000001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Plainfield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1299288.3699999999</v>
      </c>
      <c r="C9" s="229">
        <f>'DOE25'!G197+'DOE25'!G215+'DOE25'!G233+'DOE25'!G276+'DOE25'!G295+'DOE25'!G314</f>
        <v>530982.11</v>
      </c>
    </row>
    <row r="10" spans="1:3" x14ac:dyDescent="0.2">
      <c r="A10" t="s">
        <v>779</v>
      </c>
      <c r="B10" s="240">
        <v>1236877.8999999999</v>
      </c>
      <c r="C10" s="240">
        <v>504433</v>
      </c>
    </row>
    <row r="11" spans="1:3" x14ac:dyDescent="0.2">
      <c r="A11" t="s">
        <v>780</v>
      </c>
      <c r="B11" s="240">
        <f>15632.7+20278.24</f>
        <v>35910.94</v>
      </c>
      <c r="C11" s="240">
        <f>530982.11-506460.21</f>
        <v>24521.899999999965</v>
      </c>
    </row>
    <row r="12" spans="1:3" x14ac:dyDescent="0.2">
      <c r="A12" t="s">
        <v>781</v>
      </c>
      <c r="B12" s="240">
        <v>26499.53</v>
      </c>
      <c r="C12" s="240">
        <v>2027.21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1299288.3699999999</v>
      </c>
      <c r="C13" s="231">
        <f>SUM(C10:C12)</f>
        <v>530982.10999999987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548328.95000000007</v>
      </c>
      <c r="C18" s="229">
        <f>'DOE25'!G198+'DOE25'!G216+'DOE25'!G234+'DOE25'!G277+'DOE25'!G296+'DOE25'!G315</f>
        <v>343356.81</v>
      </c>
    </row>
    <row r="19" spans="1:3" x14ac:dyDescent="0.2">
      <c r="A19" t="s">
        <v>779</v>
      </c>
      <c r="B19" s="240">
        <f>225783.4+1840</f>
        <v>227623.4</v>
      </c>
      <c r="C19" s="240">
        <v>144209.85999999999</v>
      </c>
    </row>
    <row r="20" spans="1:3" x14ac:dyDescent="0.2">
      <c r="A20" t="s">
        <v>780</v>
      </c>
      <c r="B20" s="240">
        <f>14200+286317.64+11215.37</f>
        <v>311733.01</v>
      </c>
      <c r="C20" s="240">
        <v>195713.38</v>
      </c>
    </row>
    <row r="21" spans="1:3" x14ac:dyDescent="0.2">
      <c r="A21" t="s">
        <v>781</v>
      </c>
      <c r="B21" s="240">
        <v>8972.5400000000009</v>
      </c>
      <c r="C21" s="240">
        <v>3433.57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548328.95000000007</v>
      </c>
      <c r="C22" s="231">
        <f>SUM(C19:C21)</f>
        <v>343356.81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0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25778.05</v>
      </c>
      <c r="C36" s="235">
        <f>'DOE25'!G200+'DOE25'!G218+'DOE25'!G236+'DOE25'!G279+'DOE25'!G298+'DOE25'!G317</f>
        <v>3887.41</v>
      </c>
    </row>
    <row r="37" spans="1:3" x14ac:dyDescent="0.2">
      <c r="A37" t="s">
        <v>779</v>
      </c>
      <c r="B37" s="240">
        <v>18295</v>
      </c>
      <c r="C37" s="240">
        <v>3314.96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4183.05+3300</f>
        <v>7483.05</v>
      </c>
      <c r="C39" s="240">
        <v>572.45000000000005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25778.05</v>
      </c>
      <c r="C40" s="231">
        <f>SUM(C37:C39)</f>
        <v>3887.41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Plainfield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4143836.26</v>
      </c>
      <c r="D5" s="20">
        <f>SUM('DOE25'!L197:L200)+SUM('DOE25'!L215:L218)+SUM('DOE25'!L233:L236)-F5-G5</f>
        <v>4115389.1799999997</v>
      </c>
      <c r="E5" s="243"/>
      <c r="F5" s="255">
        <f>SUM('DOE25'!J197:J200)+SUM('DOE25'!J215:J218)+SUM('DOE25'!J233:J236)</f>
        <v>15716.630000000001</v>
      </c>
      <c r="G5" s="53">
        <f>SUM('DOE25'!K197:K200)+SUM('DOE25'!K215:K218)+SUM('DOE25'!K233:K236)</f>
        <v>12730.449999999999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296896.15000000002</v>
      </c>
      <c r="D6" s="20">
        <f>'DOE25'!L202+'DOE25'!L220+'DOE25'!L238-F6-G6</f>
        <v>260092.15000000002</v>
      </c>
      <c r="E6" s="243"/>
      <c r="F6" s="255">
        <f>'DOE25'!J202+'DOE25'!J220+'DOE25'!J238</f>
        <v>36685</v>
      </c>
      <c r="G6" s="53">
        <f>'DOE25'!K202+'DOE25'!K220+'DOE25'!K238</f>
        <v>119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110517.37</v>
      </c>
      <c r="D7" s="20">
        <f>'DOE25'!L203+'DOE25'!L221+'DOE25'!L239-F7-G7</f>
        <v>109499.87</v>
      </c>
      <c r="E7" s="243"/>
      <c r="F7" s="255">
        <f>'DOE25'!J203+'DOE25'!J221+'DOE25'!J239</f>
        <v>767.5</v>
      </c>
      <c r="G7" s="53">
        <f>'DOE25'!K203+'DOE25'!K221+'DOE25'!K239</f>
        <v>250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133563.62</v>
      </c>
      <c r="D8" s="243"/>
      <c r="E8" s="20">
        <f>'DOE25'!L204+'DOE25'!L222+'DOE25'!L240-F8-G8-D9-D11</f>
        <v>121138.01</v>
      </c>
      <c r="F8" s="255">
        <f>'DOE25'!J204+'DOE25'!J222+'DOE25'!J240</f>
        <v>2753.34</v>
      </c>
      <c r="G8" s="53">
        <f>'DOE25'!K204+'DOE25'!K222+'DOE25'!K240</f>
        <v>9672.27</v>
      </c>
      <c r="H8" s="259"/>
    </row>
    <row r="9" spans="1:9" x14ac:dyDescent="0.2">
      <c r="A9" s="32">
        <v>2310</v>
      </c>
      <c r="B9" t="s">
        <v>818</v>
      </c>
      <c r="C9" s="245">
        <f t="shared" si="0"/>
        <v>9622.630000000001</v>
      </c>
      <c r="D9" s="244">
        <f>1550+1500+500+721+343.77+746.68+4261.18</f>
        <v>9622.630000000001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8580.5</v>
      </c>
      <c r="D10" s="243"/>
      <c r="E10" s="244">
        <v>8580.5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88956.17</v>
      </c>
      <c r="D11" s="244">
        <v>88956.17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414146.56999999995</v>
      </c>
      <c r="D12" s="20">
        <f>'DOE25'!L205+'DOE25'!L223+'DOE25'!L241-F12-G12</f>
        <v>411582.56999999995</v>
      </c>
      <c r="E12" s="243"/>
      <c r="F12" s="255">
        <f>'DOE25'!J205+'DOE25'!J223+'DOE25'!J241</f>
        <v>65</v>
      </c>
      <c r="G12" s="53">
        <f>'DOE25'!K205+'DOE25'!K223+'DOE25'!K241</f>
        <v>2499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289034.00999999995</v>
      </c>
      <c r="D14" s="20">
        <f>'DOE25'!L207+'DOE25'!L225+'DOE25'!L243-F14-G14</f>
        <v>283268.96999999997</v>
      </c>
      <c r="E14" s="243"/>
      <c r="F14" s="255">
        <f>'DOE25'!J207+'DOE25'!J225+'DOE25'!J243</f>
        <v>5165.04</v>
      </c>
      <c r="G14" s="53">
        <f>'DOE25'!K207+'DOE25'!K225+'DOE25'!K243</f>
        <v>600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206489.31</v>
      </c>
      <c r="D15" s="20">
        <f>'DOE25'!L208+'DOE25'!L226+'DOE25'!L244-F15-G15</f>
        <v>206489.31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120340</v>
      </c>
      <c r="D25" s="243"/>
      <c r="E25" s="243"/>
      <c r="F25" s="258"/>
      <c r="G25" s="256"/>
      <c r="H25" s="257">
        <f>'DOE25'!L260+'DOE25'!L261+'DOE25'!L341+'DOE25'!L342</f>
        <v>120340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64435.89</v>
      </c>
      <c r="D29" s="20">
        <f>'DOE25'!L358+'DOE25'!L359+'DOE25'!L360-'DOE25'!I367-F29-G29</f>
        <v>64435.89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83669.540000000008</v>
      </c>
      <c r="D31" s="20">
        <f>'DOE25'!L290+'DOE25'!L309+'DOE25'!L328+'DOE25'!L333+'DOE25'!L334+'DOE25'!L335-F31-G31</f>
        <v>79583.210000000006</v>
      </c>
      <c r="E31" s="243"/>
      <c r="F31" s="255">
        <f>'DOE25'!J290+'DOE25'!J309+'DOE25'!J328+'DOE25'!J333+'DOE25'!J334+'DOE25'!J335</f>
        <v>4086.33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5628919.9499999993</v>
      </c>
      <c r="E33" s="246">
        <f>SUM(E5:E31)</f>
        <v>129718.51</v>
      </c>
      <c r="F33" s="246">
        <f>SUM(F5:F31)</f>
        <v>65238.840000000004</v>
      </c>
      <c r="G33" s="246">
        <f>SUM(G5:G31)</f>
        <v>25870.720000000001</v>
      </c>
      <c r="H33" s="246">
        <f>SUM(H5:H31)</f>
        <v>120340</v>
      </c>
    </row>
    <row r="35" spans="2:8" ht="12" thickBot="1" x14ac:dyDescent="0.25">
      <c r="B35" s="253" t="s">
        <v>847</v>
      </c>
      <c r="D35" s="254">
        <f>E33</f>
        <v>129718.51</v>
      </c>
      <c r="E35" s="249"/>
    </row>
    <row r="36" spans="2:8" ht="12" thickTop="1" x14ac:dyDescent="0.2">
      <c r="B36" t="s">
        <v>815</v>
      </c>
      <c r="D36" s="20">
        <f>D33</f>
        <v>5628919.9499999993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527019.07999999996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330704.98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3957.57</v>
      </c>
      <c r="D11" s="95">
        <f>'DOE25'!G12</f>
        <v>1769.85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576.9</v>
      </c>
      <c r="E12" s="95">
        <f>'DOE25'!H13</f>
        <v>7544.0999999999985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3531.07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534507.71999999986</v>
      </c>
      <c r="D18" s="41">
        <f>SUM(D8:D17)</f>
        <v>2346.75</v>
      </c>
      <c r="E18" s="41">
        <f>SUM(E8:E17)</f>
        <v>7544.0999999999985</v>
      </c>
      <c r="F18" s="41">
        <f>SUM(F8:F17)</f>
        <v>0</v>
      </c>
      <c r="G18" s="41">
        <f>SUM(G8:G17)</f>
        <v>330704.98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5727.02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273507.90999999997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19671.68</v>
      </c>
      <c r="D28" s="95">
        <f>'DOE25'!G29</f>
        <v>0</v>
      </c>
      <c r="E28" s="95">
        <f>'DOE25'!H29</f>
        <v>617.07999999999993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293179.58999999997</v>
      </c>
      <c r="D31" s="41">
        <f>SUM(D21:D30)</f>
        <v>0</v>
      </c>
      <c r="E31" s="41">
        <f>SUM(E21:E30)</f>
        <v>6344.1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2346.75</v>
      </c>
      <c r="E47" s="95">
        <f>'DOE25'!H48</f>
        <v>1200</v>
      </c>
      <c r="F47" s="95">
        <f>'DOE25'!I48</f>
        <v>0</v>
      </c>
      <c r="G47" s="95">
        <f>'DOE25'!J48</f>
        <v>330704.98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17965.169999999998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223362.9599999999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241328.12999999989</v>
      </c>
      <c r="D50" s="41">
        <f>SUM(D34:D49)</f>
        <v>2346.75</v>
      </c>
      <c r="E50" s="41">
        <f>SUM(E34:E49)</f>
        <v>1200</v>
      </c>
      <c r="F50" s="41">
        <f>SUM(F34:F49)</f>
        <v>0</v>
      </c>
      <c r="G50" s="41">
        <f>SUM(G34:G49)</f>
        <v>330704.98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534507.71999999986</v>
      </c>
      <c r="D51" s="41">
        <f>D50+D31</f>
        <v>2346.75</v>
      </c>
      <c r="E51" s="41">
        <f>E50+E31</f>
        <v>7544.1</v>
      </c>
      <c r="F51" s="41">
        <f>F50+F31</f>
        <v>0</v>
      </c>
      <c r="G51" s="41">
        <f>G50+G31</f>
        <v>330704.98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4275951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31.130000000000003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1358.49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45454.7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18986.449999999997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19017.579999999998</v>
      </c>
      <c r="D62" s="130">
        <f>SUM(D57:D61)</f>
        <v>45454.7</v>
      </c>
      <c r="E62" s="130">
        <f>SUM(E57:E61)</f>
        <v>0</v>
      </c>
      <c r="F62" s="130">
        <f>SUM(F57:F61)</f>
        <v>0</v>
      </c>
      <c r="G62" s="130">
        <f>SUM(G57:G61)</f>
        <v>1358.49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4294968.58</v>
      </c>
      <c r="D63" s="22">
        <f>D56+D62</f>
        <v>45454.7</v>
      </c>
      <c r="E63" s="22">
        <f>E56+E62</f>
        <v>0</v>
      </c>
      <c r="F63" s="22">
        <f>F56+F62</f>
        <v>0</v>
      </c>
      <c r="G63" s="22">
        <f>G56+G62</f>
        <v>1358.49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710696.01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686961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1397657.01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13834.44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5395.92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673.79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19230.36</v>
      </c>
      <c r="D78" s="130">
        <f>SUM(D72:D77)</f>
        <v>673.79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1416887.37</v>
      </c>
      <c r="D81" s="130">
        <f>SUM(D79:D80)+D78+D70</f>
        <v>673.79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20468.91</v>
      </c>
      <c r="D88" s="95">
        <f>SUM('DOE25'!G153:G161)</f>
        <v>9198.64</v>
      </c>
      <c r="E88" s="95">
        <f>SUM('DOE25'!H153:H161)</f>
        <v>83669.540000000008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20468.91</v>
      </c>
      <c r="D91" s="131">
        <f>SUM(D85:D90)</f>
        <v>9198.64</v>
      </c>
      <c r="E91" s="131">
        <f>SUM(E85:E90)</f>
        <v>83669.540000000008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13359.32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75000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37344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112344</v>
      </c>
      <c r="D103" s="86">
        <f>SUM(D93:D102)</f>
        <v>13359.32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5844668.8600000003</v>
      </c>
      <c r="D104" s="86">
        <f>D63+D81+D91+D103</f>
        <v>68686.45</v>
      </c>
      <c r="E104" s="86">
        <f>E63+E81+E91+E103</f>
        <v>83669.540000000008</v>
      </c>
      <c r="F104" s="86">
        <f>F63+F81+F91+F103</f>
        <v>0</v>
      </c>
      <c r="G104" s="86">
        <f>G63+G81+G103</f>
        <v>101358.49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3070705.42</v>
      </c>
      <c r="D109" s="24" t="s">
        <v>289</v>
      </c>
      <c r="E109" s="95">
        <f>('DOE25'!L276)+('DOE25'!L295)+('DOE25'!L314)</f>
        <v>28662.57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1036571.47</v>
      </c>
      <c r="D110" s="24" t="s">
        <v>289</v>
      </c>
      <c r="E110" s="95">
        <f>('DOE25'!L277)+('DOE25'!L296)+('DOE25'!L315)</f>
        <v>49550.48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36559.370000000003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4143836.26</v>
      </c>
      <c r="D115" s="86">
        <f>SUM(D109:D114)</f>
        <v>0</v>
      </c>
      <c r="E115" s="86">
        <f>SUM(E109:E114)</f>
        <v>78213.05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296896.15000000002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110517.37</v>
      </c>
      <c r="D119" s="24" t="s">
        <v>289</v>
      </c>
      <c r="E119" s="95">
        <f>+('DOE25'!L282)+('DOE25'!L301)+('DOE25'!L320)</f>
        <v>5456.49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232142.41999999998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414146.56999999995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289034.00999999995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206489.31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68667.28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1549225.8299999998</v>
      </c>
      <c r="D128" s="86">
        <f>SUM(D118:D127)</f>
        <v>68667.28</v>
      </c>
      <c r="E128" s="86">
        <f>SUM(E118:E127)</f>
        <v>5456.49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93500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26840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112344</v>
      </c>
    </row>
    <row r="135" spans="1:7" x14ac:dyDescent="0.2">
      <c r="A135" t="s">
        <v>233</v>
      </c>
      <c r="B135" s="32" t="s">
        <v>234</v>
      </c>
      <c r="C135" s="95">
        <f>'DOE25'!L263</f>
        <v>13359.32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15460.56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85897.930000000008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-1358.4900000000052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233699.32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112344</v>
      </c>
    </row>
    <row r="145" spans="1:9" ht="12.75" thickTop="1" thickBot="1" x14ac:dyDescent="0.25">
      <c r="A145" s="33" t="s">
        <v>244</v>
      </c>
      <c r="C145" s="86">
        <f>(C115+C128+C144)</f>
        <v>5926761.4100000001</v>
      </c>
      <c r="D145" s="86">
        <f>(D115+D128+D144)</f>
        <v>68667.28</v>
      </c>
      <c r="E145" s="86">
        <f>(E115+E128+E144)</f>
        <v>83669.540000000008</v>
      </c>
      <c r="F145" s="86">
        <f>(F115+F128+F144)</f>
        <v>0</v>
      </c>
      <c r="G145" s="86">
        <f>(G115+G128+G144)</f>
        <v>112344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7/19/12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1/21</v>
      </c>
      <c r="C153" s="152" t="str">
        <f>'DOE25'!G492</f>
        <v>8/22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314800</v>
      </c>
      <c r="C154" s="137">
        <f>'DOE25'!G493</f>
        <v>543500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2.3315000000000001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245000</v>
      </c>
      <c r="C156" s="137">
        <f>'DOE25'!G495</f>
        <v>543500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788500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35000</v>
      </c>
      <c r="C158" s="137">
        <f>'DOE25'!G497</f>
        <v>58500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93500</v>
      </c>
    </row>
    <row r="159" spans="1:9" x14ac:dyDescent="0.2">
      <c r="A159" s="22" t="s">
        <v>35</v>
      </c>
      <c r="B159" s="137">
        <f>'DOE25'!F498</f>
        <v>210000</v>
      </c>
      <c r="C159" s="137">
        <f>'DOE25'!G498</f>
        <v>485000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695000</v>
      </c>
    </row>
    <row r="160" spans="1:9" x14ac:dyDescent="0.2">
      <c r="A160" s="22" t="s">
        <v>36</v>
      </c>
      <c r="B160" s="137">
        <f>'DOE25'!F499</f>
        <v>33600</v>
      </c>
      <c r="C160" s="137">
        <f>'DOE25'!G499</f>
        <v>76068.75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109668.75</v>
      </c>
    </row>
    <row r="161" spans="1:7" x14ac:dyDescent="0.2">
      <c r="A161" s="22" t="s">
        <v>37</v>
      </c>
      <c r="B161" s="137">
        <f>'DOE25'!F500</f>
        <v>243600</v>
      </c>
      <c r="C161" s="137">
        <f>'DOE25'!G500</f>
        <v>561068.75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804668.75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55000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8400</v>
      </c>
      <c r="C163" s="137">
        <f>'DOE25'!G502</f>
        <v>15412.5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23812.5</v>
      </c>
    </row>
    <row r="164" spans="1:7" x14ac:dyDescent="0.2">
      <c r="A164" s="22" t="s">
        <v>246</v>
      </c>
      <c r="B164" s="137">
        <f>'DOE25'!F503</f>
        <v>38400</v>
      </c>
      <c r="C164" s="137">
        <f>'DOE25'!G503</f>
        <v>70412.5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108812.5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Plainfield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20304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20304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3099368</v>
      </c>
      <c r="D10" s="182">
        <f>ROUND((C10/$C$28)*100,1)</f>
        <v>53.2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1086122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36559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296896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115974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232142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414147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289034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206489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26840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23212.300000000003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5826783.2999999998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5826783.2999999998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93500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4275951</v>
      </c>
      <c r="D35" s="182">
        <f t="shared" ref="D35:D40" si="1">ROUND((C35/$C$41)*100,1)</f>
        <v>73.400000000000006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20376.070000000298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1397657</v>
      </c>
      <c r="D37" s="182">
        <f t="shared" si="1"/>
        <v>24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19904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113337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5827225.0700000003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7" sqref="C47:M4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Plainfield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>
        <v>2321</v>
      </c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2014-09-17T14:11:45Z</dcterms:modified>
</cp:coreProperties>
</file>