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E33" i="13" l="1"/>
  <c r="D35" i="13" s="1"/>
  <c r="C10" i="10"/>
  <c r="F667" i="1"/>
  <c r="C62" i="2"/>
  <c r="C63" i="2" s="1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D31" i="13" l="1"/>
  <c r="C31" i="13" s="1"/>
  <c r="C28" i="10"/>
  <c r="D24" i="10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22" i="10" l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<sst xmlns="http://schemas.openxmlformats.org/spreadsheetml/2006/main" count="3956" uniqueCount="914">
  <si>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</si>
  <si>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</si>
  <si>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</si>
  <si>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</si>
  <si>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</si>
  <si>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</si>
  <si>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</si>
  <si>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</si>
  <si>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</si>
  <si>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</si>
  <si>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</si>
  <si>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</si>
  <si>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</si>
  <si>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</si>
  <si>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</si>
  <si>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</si>
  <si>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</si>
  <si>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</si>
  <si>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</si>
  <si>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</si>
  <si>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</si>
  <si>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</si>
  <si>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</si>
  <si>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</si>
  <si>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</si>
  <si>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</si>
  <si>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</si>
  <si>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</si>
  <si>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</si>
  <si>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</si>
  <si>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</si>
  <si>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</si>
  <si>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</si>
  <si>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</si>
  <si>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</si>
  <si>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</si>
  <si>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</si>
  <si>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</si>
  <si>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</si>
  <si>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</si>
  <si>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</si>
  <si>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</si>
  <si>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</si>
  <si>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</si>
  <si>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</si>
  <si>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</si>
  <si>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</si>
  <si>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</si>
  <si>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</si>
  <si>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</si>
  <si>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</si>
  <si>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</si>
  <si>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</si>
  <si>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</si>
  <si>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</si>
  <si>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</si>
  <si>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</si>
  <si>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</si>
  <si>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</si>
  <si>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</si>
  <si>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</si>
  <si>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</si>
  <si>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</si>
  <si>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</si>
  <si>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</si>
  <si>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</si>
  <si>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</si>
  <si>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</si>
  <si>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</si>
  <si>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</si>
  <si>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</si>
  <si>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</si>
  <si>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</si>
  <si>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</si>
  <si>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</si>
  <si>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</si>
  <si>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</si>
  <si>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</si>
  <si>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</si>
  <si>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</si>
  <si>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</si>
  <si>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</si>
  <si>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</si>
  <si>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</si>
  <si>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</si>
  <si>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</si>
  <si>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</si>
  <si>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</si>
  <si>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</si>
  <si>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</si>
  <si>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</si>
  <si>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</si>
  <si>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</si>
  <si>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</si>
  <si>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</si>
  <si>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</si>
  <si>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</si>
  <si>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</si>
  <si>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</si>
  <si>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</si>
  <si>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</si>
  <si>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</si>
  <si>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</si>
  <si>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</si>
  <si>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</si>
  <si>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</si>
  <si>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</si>
  <si>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</si>
  <si>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</si>
  <si>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</si>
  <si>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</si>
  <si>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</si>
  <si>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</si>
  <si>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</si>
  <si>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</si>
  <si>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</si>
  <si>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</si>
  <si>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</si>
  <si>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</si>
  <si>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</si>
  <si>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</si>
  <si>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</si>
  <si>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</si>
  <si>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</si>
  <si>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</si>
  <si>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</si>
  <si>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</si>
  <si>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</si>
  <si>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</si>
  <si>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</si>
  <si>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</si>
  <si>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</si>
  <si>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</si>
  <si>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</si>
  <si>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</si>
  <si>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</si>
  <si>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</si>
  <si>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</si>
  <si>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</si>
  <si>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</si>
  <si>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</si>
  <si>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</si>
  <si>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</si>
  <si>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</si>
  <si>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</si>
  <si>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</si>
  <si>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</si>
  <si>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</si>
  <si>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</si>
  <si>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</si>
  <si>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</si>
  <si>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</si>
  <si>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</si>
  <si>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</si>
  <si>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</si>
  <si>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</si>
  <si>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</si>
  <si>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</si>
  <si>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</si>
  <si>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</si>
  <si>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</si>
  <si>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</si>
  <si>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</si>
  <si>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</si>
  <si>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</si>
  <si>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</si>
  <si>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</si>
  <si>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</si>
  <si>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</si>
  <si>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</si>
  <si>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</si>
  <si>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</si>
  <si>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</si>
  <si>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</si>
  <si>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</si>
  <si>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</si>
  <si>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</si>
  <si>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</si>
  <si>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</si>
  <si>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</si>
  <si>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</si>
  <si>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</si>
  <si>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</si>
  <si>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</si>
  <si>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</si>
  <si>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</si>
  <si>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</si>
  <si>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</si>
  <si>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</si>
  <si>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</si>
  <si>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</si>
  <si>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</si>
  <si>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</si>
  <si>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</si>
  <si>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</si>
  <si>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</si>
  <si>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</si>
  <si>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</si>
  <si>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</si>
  <si>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</si>
  <si>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</si>
  <si>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</si>
  <si>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</si>
  <si>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</si>
  <si>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</si>
  <si>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</si>
  <si>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</si>
  <si>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</si>
  <si>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</si>
  <si>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</si>
  <si>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</si>
  <si>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</si>
  <si>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</si>
  <si>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</si>
  <si>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</si>
  <si>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</si>
  <si>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</si>
  <si>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</si>
  <si>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</si>
  <si>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</si>
  <si>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</si>
  <si>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</si>
  <si>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</si>
  <si>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</si>
  <si>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</si>
  <si>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</si>
  <si>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</si>
  <si>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</si>
  <si>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</si>
  <si>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</si>
  <si>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</si>
  <si>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</si>
  <si>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</si>
  <si>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</si>
  <si>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</si>
  <si>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</si>
  <si>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</si>
  <si>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</si>
  <si>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</si>
  <si>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</si>
  <si>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</si>
  <si>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</si>
  <si>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</si>
  <si>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</si>
  <si>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</si>
  <si>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</si>
  <si>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</si>
  <si>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</si>
  <si>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</si>
  <si>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</si>
  <si>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</si>
  <si>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</si>
  <si>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</si>
  <si>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</si>
  <si>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</si>
  <si>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</si>
  <si>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</si>
  <si>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</si>
  <si>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</si>
  <si>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</si>
  <si>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</si>
  <si>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</si>
  <si>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</si>
  <si>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</si>
  <si>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</si>
  <si>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</si>
  <si>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</si>
  <si>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</si>
  <si>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</si>
  <si>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</si>
  <si>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</si>
  <si>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</si>
  <si>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</si>
  <si>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</si>
  <si>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</si>
  <si>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</si>
  <si>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</si>
  <si>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</si>
  <si>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</si>
  <si>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</si>
  <si>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</si>
  <si>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</si>
  <si>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</si>
  <si>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</si>
  <si>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</si>
  <si>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</si>
  <si>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</si>
  <si>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</si>
  <si>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</si>
  <si>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</si>
  <si>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</si>
  <si>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</si>
  <si>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</si>
  <si>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</si>
  <si>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</si>
  <si>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</si>
  <si>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</si>
  <si>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</si>
  <si>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</si>
  <si>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</si>
  <si>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</si>
  <si>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</si>
  <si>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</si>
  <si>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</si>
  <si>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</si>
  <si>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</si>
  <si>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</si>
  <si>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</si>
  <si>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</si>
  <si>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</si>
  <si>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</si>
  <si>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</si>
  <si>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</si>
  <si>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</si>
  <si>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</si>
  <si>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</si>
  <si>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</si>
  <si>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</si>
  <si>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</si>
  <si>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</si>
  <si>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</si>
  <si>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</si>
  <si>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</si>
  <si>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</si>
  <si>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</si>
  <si>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</si>
  <si>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</si>
  <si>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</si>
  <si>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</si>
  <si>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</si>
  <si>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</si>
  <si>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</si>
  <si>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</si>
  <si>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</si>
  <si>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</si>
  <si>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</si>
  <si>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</si>
  <si>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</si>
  <si>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</si>
  <si>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</si>
  <si>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</si>
  <si>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</si>
  <si>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</si>
  <si>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</si>
  <si>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</si>
  <si>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</si>
  <si>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</si>
  <si>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</si>
  <si>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</si>
  <si>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</si>
  <si>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</si>
  <si>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</si>
  <si>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</si>
  <si>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</si>
  <si>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</si>
  <si>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</si>
  <si>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</si>
  <si>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</si>
  <si>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</si>
  <si>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</si>
  <si>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</si>
  <si>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</si>
  <si>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</si>
  <si>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</si>
  <si>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</si>
  <si>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</si>
  <si>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</si>
  <si>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</si>
  <si>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</si>
  <si>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</si>
  <si>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</si>
  <si>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</si>
  <si>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</si>
  <si>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</si>
  <si>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</si>
  <si>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</si>
  <si>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</si>
  <si>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</si>
  <si>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</si>
  <si>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</si>
  <si>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</si>
  <si>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</si>
  <si>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</si>
  <si>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</si>
  <si>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</si>
  <si>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</si>
  <si>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</si>
  <si>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</si>
  <si>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</si>
  <si>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</si>
  <si>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</si>
  <si>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</si>
  <si>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</si>
  <si>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</si>
  <si>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</si>
  <si>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</si>
  <si>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</si>
  <si>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</si>
  <si>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</si>
  <si>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</si>
  <si>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</si>
  <si>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</si>
  <si>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</si>
  <si>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</si>
  <si>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</si>
  <si>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</si>
  <si>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</si>
  <si>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</si>
  <si>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</si>
  <si>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</si>
  <si>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</si>
  <si>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</si>
  <si>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</si>
  <si>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</si>
  <si>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</si>
  <si>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</si>
  <si>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</si>
  <si>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</si>
  <si>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</si>
  <si>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</si>
  <si>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</si>
  <si>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</si>
  <si>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</si>
  <si>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</si>
  <si>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</si>
  <si>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</si>
  <si>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</si>
  <si>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</si>
  <si>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</si>
  <si>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</si>
  <si>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</si>
  <si>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</si>
  <si>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</si>
  <si>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</si>
  <si>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</si>
  <si>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</si>
  <si>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</si>
  <si>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</si>
  <si>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</si>
  <si>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</si>
  <si>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</si>
  <si>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</si>
  <si>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</si>
  <si>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</si>
  <si>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</si>
  <si>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</si>
  <si>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</si>
  <si>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</si>
  <si>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</si>
  <si>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</si>
  <si>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</si>
  <si>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</si>
  <si>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</si>
  <si>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</si>
  <si>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</si>
  <si>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</si>
  <si>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</si>
  <si>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</si>
  <si>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</si>
  <si>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</si>
  <si>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</si>
  <si>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</si>
  <si>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</si>
  <si>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</si>
  <si>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</si>
  <si>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</si>
  <si>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</si>
  <si>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</si>
  <si>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</si>
  <si>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</si>
  <si>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</si>
  <si>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</si>
  <si>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</si>
  <si>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</si>
  <si>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</si>
  <si>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</si>
  <si>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</si>
  <si>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</si>
  <si>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</si>
  <si>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</si>
  <si>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</si>
  <si>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</si>
  <si>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</si>
  <si>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</si>
  <si>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</si>
  <si>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</si>
  <si>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</si>
  <si>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</si>
  <si>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</si>
  <si>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</si>
  <si>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</si>
  <si>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</si>
  <si>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</si>
  <si>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</si>
  <si>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</si>
  <si>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</si>
  <si>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</si>
  <si>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</si>
  <si>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</si>
  <si>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</si>
  <si>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</si>
  <si>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</si>
  <si>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</si>
  <si>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</si>
  <si>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</si>
  <si>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</si>
  <si>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</si>
  <si>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</si>
  <si>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</si>
  <si>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</si>
  <si>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</si>
  <si>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</si>
  <si>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</si>
  <si>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</si>
  <si>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</si>
  <si>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</si>
  <si>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</si>
  <si>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</si>
  <si>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</si>
  <si>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</si>
  <si>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</si>
  <si>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</si>
  <si>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</si>
  <si>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</si>
  <si>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</si>
  <si>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</si>
  <si>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</si>
  <si>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</si>
  <si>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</si>
  <si>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</si>
  <si>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</si>
  <si>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</si>
  <si>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</si>
  <si>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</si>
  <si>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</si>
  <si>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</si>
  <si>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</si>
  <si>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</si>
  <si>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</si>
  <si>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</si>
  <si>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</si>
  <si>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</si>
  <si>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</si>
  <si>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</si>
  <si>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</si>
  <si>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</si>
  <si>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</si>
  <si>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</si>
  <si>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</si>
  <si>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</si>
  <si>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</si>
  <si>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</si>
  <si>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</si>
  <si>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</si>
  <si>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</si>
  <si>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</si>
  <si>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</si>
  <si>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</si>
  <si>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</si>
  <si>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</si>
  <si>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</si>
  <si>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</si>
  <si>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</si>
  <si>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</si>
  <si>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</si>
  <si>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</si>
  <si>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</si>
  <si>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</si>
  <si>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</si>
  <si>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</si>
  <si>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</si>
  <si>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</si>
  <si>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</si>
  <si>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</si>
  <si>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</si>
  <si>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</si>
  <si>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</si>
  <si>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</si>
  <si>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</si>
  <si>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</si>
  <si>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</si>
  <si>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</si>
  <si>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</si>
  <si>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</si>
  <si>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</si>
  <si>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</si>
  <si>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</si>
  <si>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</si>
  <si>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</si>
  <si>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</si>
  <si>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</si>
  <si>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</si>
  <si>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</si>
  <si>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</si>
  <si>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</si>
  <si>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</si>
  <si>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</si>
  <si>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</si>
  <si>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</si>
  <si>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</si>
  <si>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</si>
  <si>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</si>
  <si>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</si>
  <si>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</si>
  <si>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</si>
  <si>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</si>
  <si>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</si>
  <si>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</si>
  <si>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</si>
  <si>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</si>
  <si>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</si>
  <si>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</si>
  <si>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</si>
  <si>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</si>
  <si>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</si>
  <si>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</si>
  <si>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</si>
  <si>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</si>
  <si>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</si>
  <si>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</si>
  <si>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</si>
  <si>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</si>
  <si>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</si>
  <si>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</si>
  <si>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</si>
  <si>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</si>
  <si>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</si>
  <si>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</si>
  <si>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</si>
  <si>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</si>
  <si>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</si>
  <si>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</si>
  <si>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</si>
  <si>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</si>
  <si>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</si>
  <si>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</si>
  <si>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</si>
  <si>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</si>
  <si>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</si>
  <si>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</si>
  <si>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</si>
  <si>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</si>
  <si>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</si>
  <si>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</si>
  <si>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</si>
  <si>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</si>
  <si>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</si>
  <si>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</si>
  <si>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</si>
  <si>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</si>
  <si>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</si>
  <si>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</si>
  <si>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</si>
  <si>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</si>
  <si>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</si>
  <si>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</si>
  <si>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</si>
  <si>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</si>
  <si>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</si>
  <si>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</si>
  <si>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</si>
  <si>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</si>
  <si>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</si>
  <si>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</si>
  <si>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</si>
  <si>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</si>
  <si>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</si>
  <si>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</si>
  <si>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</si>
  <si>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</si>
  <si>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</si>
  <si>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</si>
  <si>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</si>
  <si>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</si>
  <si>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</si>
  <si>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</si>
  <si>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</si>
  <si>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</si>
  <si>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</si>
  <si>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</si>
  <si>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</si>
  <si>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</si>
  <si>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</si>
  <si>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</si>
  <si>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</si>
  <si>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</si>
  <si>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</si>
  <si>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</si>
  <si>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</si>
  <si>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</si>
  <si>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</si>
  <si>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</si>
  <si>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</si>
  <si>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</si>
  <si>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</si>
  <si>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</si>
  <si>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</si>
  <si>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</si>
  <si>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</si>
  <si>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</si>
  <si>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</si>
  <si>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</si>
  <si>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</si>
  <si>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</si>
  <si>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</si>
  <si>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</si>
  <si>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</si>
  <si>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</si>
  <si>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</si>
  <si>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</si>
  <si>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</si>
  <si>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</si>
  <si>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</si>
  <si>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</si>
  <si>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</si>
  <si>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</si>
  <si>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</si>
  <si>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</si>
  <si>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</si>
  <si>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</si>
  <si>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</si>
  <si>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</si>
  <si>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</si>
  <si>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</si>
  <si>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</si>
  <si>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</si>
  <si>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</si>
  <si>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</si>
  <si>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</si>
  <si>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</si>
  <si>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</si>
  <si>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</si>
  <si>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</si>
  <si>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</si>
  <si>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</si>
  <si>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</si>
  <si>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</si>
  <si>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</si>
  <si>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</si>
  <si>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</si>
  <si>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</si>
  <si>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</si>
  <si>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</si>
  <si>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</si>
  <si>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</si>
  <si>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</si>
  <si>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</si>
  <si>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</si>
  <si>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</si>
  <si>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</si>
  <si>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</si>
  <si>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</si>
  <si>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</si>
  <si>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</si>
  <si>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</si>
  <si>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</si>
  <si>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</si>
  <si>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</si>
  <si>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</si>
  <si>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</si>
  <si>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</si>
  <si>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</si>
  <si>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</si>
  <si>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</si>
  <si>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</si>
  <si>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</si>
  <si>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</si>
  <si>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</si>
  <si>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</si>
  <si>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</si>
  <si>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</si>
  <si>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</si>
  <si>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</si>
  <si>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</si>
  <si>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</si>
  <si>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</si>
  <si>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</si>
  <si>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</si>
  <si>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</si>
  <si>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</si>
  <si>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</si>
  <si>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</si>
  <si>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</si>
  <si>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</si>
  <si>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</si>
  <si>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</si>
  <si>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</si>
  <si>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</si>
  <si>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</si>
  <si>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</si>
  <si>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</si>
  <si>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</si>
  <si>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</si>
  <si>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</si>
  <si>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</si>
  <si>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</si>
  <si>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</si>
  <si>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</si>
  <si>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</si>
  <si>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</si>
  <si>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</si>
  <si>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</si>
  <si>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</si>
  <si>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</si>
  <si>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</si>
  <si>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</si>
  <si>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</si>
  <si>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</si>
  <si>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</si>
  <si>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</si>
  <si>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</si>
  <si>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</si>
  <si>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</si>
  <si>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</si>
  <si>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</si>
  <si>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</si>
  <si>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</si>
  <si>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</si>
  <si>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</si>
  <si>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</si>
  <si>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</si>
  <si>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</si>
  <si>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</si>
  <si>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</si>
  <si>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</si>
  <si>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</si>
  <si>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</si>
  <si>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</si>
  <si>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</si>
  <si>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</si>
  <si>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</si>
  <si>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</si>
  <si>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</si>
  <si>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</si>
  <si>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</si>
  <si>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</si>
  <si>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</si>
  <si>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</si>
  <si>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</si>
  <si>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</si>
  <si>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</si>
  <si>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</si>
  <si>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</si>
  <si>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</si>
  <si>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</si>
  <si>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</si>
  <si>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</si>
  <si>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</si>
  <si>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</si>
  <si>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</si>
  <si>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</si>
  <si>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</si>
  <si>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</si>
  <si>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</si>
  <si>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</si>
  <si>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</si>
  <si>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</si>
  <si>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</si>
  <si>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</si>
  <si>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</si>
  <si>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</si>
  <si>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</si>
  <si>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</si>
  <si>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</si>
  <si>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</si>
  <si>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</si>
  <si>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</si>
  <si>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</si>
  <si>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</si>
  <si>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</si>
  <si>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</si>
  <si>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</si>
  <si>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</si>
  <si>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</si>
  <si>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</si>
  <si>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</si>
  <si>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</si>
  <si>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</si>
  <si>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</si>
  <si>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</si>
  <si>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</si>
  <si>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</si>
  <si>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</si>
  <si>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</si>
  <si>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</si>
  <si>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</si>
  <si>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</si>
  <si>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</si>
  <si>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</si>
  <si>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</si>
  <si>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</si>
  <si>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</si>
  <si>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</si>
  <si>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</si>
  <si>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</si>
  <si>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</si>
  <si>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</si>
  <si>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</si>
  <si>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</si>
  <si>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</si>
  <si>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</si>
  <si>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</si>
  <si>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</si>
  <si>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</si>
  <si>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</si>
  <si>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</si>
  <si>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</si>
  <si>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</si>
  <si>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</si>
  <si>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</si>
  <si>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</si>
  <si>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PLYMOUTH SCHOOL DISTRICT</t>
  </si>
  <si>
    <t>07/10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</si>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</sst>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447</v>
      </c>
      <c r="C2" s="21">
        <v>447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165906.03</v>
      </c>
      <c r="G9" s="18">
        <v>-42980.51</v>
      </c>
      <c r="H9" s="18">
        <v>-24743.56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61672.51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80601.070000000007</v>
      </c>
      <c r="G13" s="18">
        <v>47724.28</v>
      </c>
      <c r="H13" s="18">
        <v>28659.29</v>
      </c>
      <c r="I13" s="18"/>
      <c r="J13" s="67">
        <f>SUM(I442)</f>
        <v>362.62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1594.4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248101.5</v>
      </c>
      <c r="G19" s="41">
        <f>SUM(G9:G18)</f>
        <v>4743.7699999999968</v>
      </c>
      <c r="H19" s="41">
        <f>SUM(H9:H18)</f>
        <v>3915.7299999999996</v>
      </c>
      <c r="I19" s="41">
        <f>SUM(I9:I18)</f>
        <v>0</v>
      </c>
      <c r="J19" s="41">
        <f>SUM(J9:J18)</f>
        <v>62035.130000000005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152774.39000000001</v>
      </c>
      <c r="G24" s="18">
        <v>86.05</v>
      </c>
      <c r="H24" s="18">
        <v>1218.58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2816.66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2926.75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155591.05000000002</v>
      </c>
      <c r="G32" s="41">
        <f>SUM(G22:G31)</f>
        <v>86.05</v>
      </c>
      <c r="H32" s="41">
        <f>SUM(H22:H31)</f>
        <v>4145.33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62035.13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5510</v>
      </c>
      <c r="G49" s="18">
        <v>4657.72</v>
      </c>
      <c r="H49" s="18">
        <v>-229.6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87000.45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92510.45</v>
      </c>
      <c r="G51" s="41">
        <f>SUM(G35:G50)</f>
        <v>4657.72</v>
      </c>
      <c r="H51" s="41">
        <f>SUM(H35:H50)</f>
        <v>-229.6</v>
      </c>
      <c r="I51" s="41">
        <f>SUM(I35:I50)</f>
        <v>0</v>
      </c>
      <c r="J51" s="41">
        <f>SUM(J35:J50)</f>
        <v>62035.13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248101.5</v>
      </c>
      <c r="G52" s="41">
        <f>G51+G32</f>
        <v>4743.7700000000004</v>
      </c>
      <c r="H52" s="41">
        <f>H51+H32</f>
        <v>3915.73</v>
      </c>
      <c r="I52" s="41">
        <f>I51+I32</f>
        <v>0</v>
      </c>
      <c r="J52" s="41">
        <f>J51+J32</f>
        <v>62035.13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3531640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3531640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17051.54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284456.28999999998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140167.5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169136.51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610811.84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7.68</v>
      </c>
      <c r="G96" s="18"/>
      <c r="H96" s="18"/>
      <c r="I96" s="18"/>
      <c r="J96" s="18">
        <v>6.22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49533.5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16292.72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322080.55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322088.23</v>
      </c>
      <c r="G111" s="41">
        <f>SUM(G96:G110)</f>
        <v>49533.5</v>
      </c>
      <c r="H111" s="41">
        <f>SUM(H96:H110)</f>
        <v>16292.72</v>
      </c>
      <c r="I111" s="41">
        <f>SUM(I96:I110)</f>
        <v>0</v>
      </c>
      <c r="J111" s="41">
        <f>SUM(J96:J110)</f>
        <v>6.22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4464540.07</v>
      </c>
      <c r="G112" s="41">
        <f>G60+G111</f>
        <v>49533.5</v>
      </c>
      <c r="H112" s="41">
        <f>H60+H79+H94+H111</f>
        <v>16292.72</v>
      </c>
      <c r="I112" s="41">
        <f>I60+I111</f>
        <v>0</v>
      </c>
      <c r="J112" s="41">
        <f>J60+J111</f>
        <v>6.22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2184762.4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605182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2789944.4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420000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115870.97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1696.31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535870.97</v>
      </c>
      <c r="G136" s="41">
        <f>SUM(G123:G135)</f>
        <v>1696.31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3325815.37</v>
      </c>
      <c r="G140" s="41">
        <f>G121+SUM(G136:G137)</f>
        <v>1696.31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128068.46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33113.269999999997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113554.68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154734.96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9498.84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154734.96</v>
      </c>
      <c r="G162" s="41">
        <f>SUM(G150:G161)</f>
        <v>113554.68</v>
      </c>
      <c r="H162" s="41">
        <f>SUM(H150:H161)</f>
        <v>170680.57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2772.48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157507.44</v>
      </c>
      <c r="G169" s="41">
        <f>G147+G162+SUM(G163:G168)</f>
        <v>113554.68</v>
      </c>
      <c r="H169" s="41">
        <f>H147+H162+SUM(H163:H168)</f>
        <v>170680.57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7947862.8800000008</v>
      </c>
      <c r="G193" s="47">
        <f>G112+G140+G169+G192</f>
        <v>164784.49</v>
      </c>
      <c r="H193" s="47">
        <f>H112+H140+H169+H192</f>
        <v>186973.29</v>
      </c>
      <c r="I193" s="47">
        <f>I112+I140+I169+I192</f>
        <v>0</v>
      </c>
      <c r="J193" s="47">
        <f>J112+J140+J192</f>
        <v>6.22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2054883.32</v>
      </c>
      <c r="G197" s="18">
        <v>846074.51</v>
      </c>
      <c r="H197" s="18">
        <v>15802.61</v>
      </c>
      <c r="I197" s="18">
        <v>93473.67</v>
      </c>
      <c r="J197" s="18">
        <v>2359.1</v>
      </c>
      <c r="K197" s="18">
        <v>7993.5</v>
      </c>
      <c r="L197" s="19">
        <f>SUM(F197:K197)</f>
        <v>3020586.71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915961.17</v>
      </c>
      <c r="G198" s="18">
        <v>439642.86</v>
      </c>
      <c r="H198" s="18">
        <v>362939.04</v>
      </c>
      <c r="I198" s="18">
        <v>4121.46</v>
      </c>
      <c r="J198" s="18">
        <v>4399.09</v>
      </c>
      <c r="K198" s="18"/>
      <c r="L198" s="19">
        <f>SUM(F198:K198)</f>
        <v>1727063.62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118522.25</v>
      </c>
      <c r="G200" s="18">
        <v>19648.080000000002</v>
      </c>
      <c r="H200" s="18">
        <v>18812.189999999999</v>
      </c>
      <c r="I200" s="18">
        <v>7695.02</v>
      </c>
      <c r="J200" s="18">
        <v>1458.92</v>
      </c>
      <c r="K200" s="18">
        <v>3170</v>
      </c>
      <c r="L200" s="19">
        <f>SUM(F200:K200)</f>
        <v>169306.46000000002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247361.9</v>
      </c>
      <c r="G202" s="18">
        <v>120316.54</v>
      </c>
      <c r="H202" s="18">
        <v>226364.79999999999</v>
      </c>
      <c r="I202" s="18">
        <v>1374.37</v>
      </c>
      <c r="J202" s="18"/>
      <c r="K202" s="18"/>
      <c r="L202" s="19">
        <f t="shared" ref="L202:L208" si="0">SUM(F202:K202)</f>
        <v>595417.61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42997.82</v>
      </c>
      <c r="G203" s="18">
        <v>98246.59</v>
      </c>
      <c r="H203" s="18"/>
      <c r="I203" s="18">
        <v>8337.7199999999993</v>
      </c>
      <c r="J203" s="18"/>
      <c r="K203" s="18"/>
      <c r="L203" s="19">
        <f t="shared" si="0"/>
        <v>149582.13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71318</v>
      </c>
      <c r="G204" s="18">
        <v>18815.8</v>
      </c>
      <c r="H204" s="18">
        <v>221332.52</v>
      </c>
      <c r="I204" s="18">
        <v>705.26</v>
      </c>
      <c r="J204" s="18"/>
      <c r="K204" s="18">
        <v>3960.76</v>
      </c>
      <c r="L204" s="19">
        <f t="shared" si="0"/>
        <v>316132.34000000003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274974.15999999997</v>
      </c>
      <c r="G205" s="18">
        <v>132789.22</v>
      </c>
      <c r="H205" s="18">
        <v>4409.8100000000004</v>
      </c>
      <c r="I205" s="18">
        <v>4045.84</v>
      </c>
      <c r="J205" s="18">
        <v>710.27</v>
      </c>
      <c r="K205" s="18">
        <v>1449</v>
      </c>
      <c r="L205" s="19">
        <f t="shared" si="0"/>
        <v>418378.30000000005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224.05</v>
      </c>
      <c r="I206" s="18"/>
      <c r="J206" s="18"/>
      <c r="K206" s="18"/>
      <c r="L206" s="19">
        <f t="shared" si="0"/>
        <v>224.05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198559.46</v>
      </c>
      <c r="G207" s="18">
        <v>120474.87</v>
      </c>
      <c r="H207" s="18">
        <v>143282.65</v>
      </c>
      <c r="I207" s="18">
        <v>135438.71</v>
      </c>
      <c r="J207" s="18">
        <v>26164.27</v>
      </c>
      <c r="K207" s="18"/>
      <c r="L207" s="19">
        <f t="shared" si="0"/>
        <v>623919.96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185660.07</v>
      </c>
      <c r="I208" s="18"/>
      <c r="J208" s="18"/>
      <c r="K208" s="18"/>
      <c r="L208" s="19">
        <f t="shared" si="0"/>
        <v>185660.07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3924578.08</v>
      </c>
      <c r="G211" s="41">
        <f t="shared" si="1"/>
        <v>1796008.4700000002</v>
      </c>
      <c r="H211" s="41">
        <f t="shared" si="1"/>
        <v>1178827.74</v>
      </c>
      <c r="I211" s="41">
        <f t="shared" si="1"/>
        <v>255192.05</v>
      </c>
      <c r="J211" s="41">
        <f t="shared" si="1"/>
        <v>35091.65</v>
      </c>
      <c r="K211" s="41">
        <f t="shared" si="1"/>
        <v>16573.260000000002</v>
      </c>
      <c r="L211" s="41">
        <f t="shared" si="1"/>
        <v>7206271.25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64082.48</v>
      </c>
      <c r="G253" s="18">
        <v>20708.669999999998</v>
      </c>
      <c r="H253" s="18"/>
      <c r="I253" s="18">
        <v>201.42</v>
      </c>
      <c r="J253" s="18"/>
      <c r="K253" s="18"/>
      <c r="L253" s="19">
        <f t="shared" si="6"/>
        <v>84992.569999999992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64082.48</v>
      </c>
      <c r="G256" s="41">
        <f t="shared" si="7"/>
        <v>20708.669999999998</v>
      </c>
      <c r="H256" s="41">
        <f t="shared" si="7"/>
        <v>0</v>
      </c>
      <c r="I256" s="41">
        <f t="shared" si="7"/>
        <v>201.42</v>
      </c>
      <c r="J256" s="41">
        <f t="shared" si="7"/>
        <v>0</v>
      </c>
      <c r="K256" s="41">
        <f t="shared" si="7"/>
        <v>0</v>
      </c>
      <c r="L256" s="41">
        <f>SUM(F256:K256)</f>
        <v>84992.569999999992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3988660.56</v>
      </c>
      <c r="G257" s="41">
        <f t="shared" si="8"/>
        <v>1816717.1400000001</v>
      </c>
      <c r="H257" s="41">
        <f t="shared" si="8"/>
        <v>1178827.74</v>
      </c>
      <c r="I257" s="41">
        <f t="shared" si="8"/>
        <v>255393.47</v>
      </c>
      <c r="J257" s="41">
        <f t="shared" si="8"/>
        <v>35091.65</v>
      </c>
      <c r="K257" s="41">
        <f t="shared" si="8"/>
        <v>16573.260000000002</v>
      </c>
      <c r="L257" s="41">
        <f t="shared" si="8"/>
        <v>7291263.8200000003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700000</v>
      </c>
      <c r="L260" s="19">
        <f>SUM(F260:K260)</f>
        <v>700000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48449.85</v>
      </c>
      <c r="L261" s="19">
        <f>SUM(F261:K261)</f>
        <v>48449.85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748449.85</v>
      </c>
      <c r="L270" s="41">
        <f t="shared" si="9"/>
        <v>748449.85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3988660.56</v>
      </c>
      <c r="G271" s="42">
        <f t="shared" si="11"/>
        <v>1816717.1400000001</v>
      </c>
      <c r="H271" s="42">
        <f t="shared" si="11"/>
        <v>1178827.74</v>
      </c>
      <c r="I271" s="42">
        <f t="shared" si="11"/>
        <v>255393.47</v>
      </c>
      <c r="J271" s="42">
        <f t="shared" si="11"/>
        <v>35091.65</v>
      </c>
      <c r="K271" s="42">
        <f t="shared" si="11"/>
        <v>765023.11</v>
      </c>
      <c r="L271" s="42">
        <f t="shared" si="11"/>
        <v>8039713.6699999999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20580</v>
      </c>
      <c r="G276" s="18">
        <v>6292.35</v>
      </c>
      <c r="H276" s="18"/>
      <c r="I276" s="18">
        <v>20.87</v>
      </c>
      <c r="J276" s="18">
        <v>2808.84</v>
      </c>
      <c r="K276" s="18"/>
      <c r="L276" s="19">
        <f>SUM(F276:K276)</f>
        <v>29702.059999999998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60031.6</v>
      </c>
      <c r="G277" s="18">
        <v>23578.78</v>
      </c>
      <c r="H277" s="18"/>
      <c r="I277" s="18">
        <v>604.41</v>
      </c>
      <c r="J277" s="18"/>
      <c r="K277" s="18"/>
      <c r="L277" s="19">
        <f>SUM(F277:K277)</f>
        <v>84214.790000000008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10381.299999999999</v>
      </c>
      <c r="G279" s="18">
        <v>3163.97</v>
      </c>
      <c r="H279" s="18"/>
      <c r="I279" s="18"/>
      <c r="J279" s="18"/>
      <c r="K279" s="18"/>
      <c r="L279" s="19">
        <f>SUM(F279:K279)</f>
        <v>13545.269999999999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24482.6</v>
      </c>
      <c r="G281" s="18">
        <v>11201.52</v>
      </c>
      <c r="H281" s="18"/>
      <c r="I281" s="18">
        <v>596.41999999999996</v>
      </c>
      <c r="J281" s="18">
        <v>1000</v>
      </c>
      <c r="K281" s="18"/>
      <c r="L281" s="19">
        <f t="shared" ref="L281:L287" si="12">SUM(F281:K281)</f>
        <v>37280.539999999994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7123.6</v>
      </c>
      <c r="I282" s="18"/>
      <c r="J282" s="18"/>
      <c r="K282" s="18"/>
      <c r="L282" s="19">
        <f t="shared" si="12"/>
        <v>7123.6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7837.62</v>
      </c>
      <c r="G283" s="18"/>
      <c r="H283" s="18"/>
      <c r="I283" s="18"/>
      <c r="J283" s="18"/>
      <c r="K283" s="18"/>
      <c r="L283" s="19">
        <f t="shared" si="12"/>
        <v>7837.62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>
        <v>1565.4</v>
      </c>
      <c r="J284" s="18"/>
      <c r="K284" s="18"/>
      <c r="L284" s="19">
        <f t="shared" si="12"/>
        <v>1565.4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3860.43</v>
      </c>
      <c r="L285" s="19">
        <f t="shared" si="12"/>
        <v>3860.43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1843.58</v>
      </c>
      <c r="I287" s="18"/>
      <c r="J287" s="18"/>
      <c r="K287" s="18"/>
      <c r="L287" s="19">
        <f t="shared" si="12"/>
        <v>1843.58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123313.12</v>
      </c>
      <c r="G290" s="42">
        <f t="shared" si="13"/>
        <v>44236.619999999995</v>
      </c>
      <c r="H290" s="42">
        <f t="shared" si="13"/>
        <v>8967.18</v>
      </c>
      <c r="I290" s="42">
        <f t="shared" si="13"/>
        <v>2787.1</v>
      </c>
      <c r="J290" s="42">
        <f t="shared" si="13"/>
        <v>3808.84</v>
      </c>
      <c r="K290" s="42">
        <f t="shared" si="13"/>
        <v>3860.43</v>
      </c>
      <c r="L290" s="41">
        <f t="shared" si="13"/>
        <v>186973.28999999998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123313.12</v>
      </c>
      <c r="G338" s="41">
        <f t="shared" si="20"/>
        <v>44236.619999999995</v>
      </c>
      <c r="H338" s="41">
        <f t="shared" si="20"/>
        <v>8967.18</v>
      </c>
      <c r="I338" s="41">
        <f t="shared" si="20"/>
        <v>2787.1</v>
      </c>
      <c r="J338" s="41">
        <f t="shared" si="20"/>
        <v>3808.84</v>
      </c>
      <c r="K338" s="41">
        <f t="shared" si="20"/>
        <v>3860.43</v>
      </c>
      <c r="L338" s="41">
        <f t="shared" si="20"/>
        <v>186973.28999999998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123313.12</v>
      </c>
      <c r="G352" s="41">
        <f>G338</f>
        <v>44236.619999999995</v>
      </c>
      <c r="H352" s="41">
        <f>H338</f>
        <v>8967.18</v>
      </c>
      <c r="I352" s="41">
        <f>I338</f>
        <v>2787.1</v>
      </c>
      <c r="J352" s="41">
        <f>J338</f>
        <v>3808.84</v>
      </c>
      <c r="K352" s="47">
        <f>K338+K351</f>
        <v>3860.43</v>
      </c>
      <c r="L352" s="41">
        <f>L338+L351</f>
        <v>186973.28999999998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163677</v>
      </c>
      <c r="I358" s="18"/>
      <c r="J358" s="18"/>
      <c r="K358" s="18"/>
      <c r="L358" s="13">
        <f>SUM(F358:K358)</f>
        <v>163677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163677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163677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6.22</v>
      </c>
      <c r="I396" s="18"/>
      <c r="J396" s="24" t="s">
        <v>289</v>
      </c>
      <c r="K396" s="24" t="s">
        <v>289</v>
      </c>
      <c r="L396" s="56">
        <f t="shared" si="26"/>
        <v>6.22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6.22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6.22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6.22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6.22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61672.51</v>
      </c>
      <c r="H440" s="18"/>
      <c r="I440" s="56">
        <f t="shared" si="33"/>
        <v>61672.51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362.62</v>
      </c>
      <c r="H442" s="18"/>
      <c r="I442" s="56">
        <f t="shared" si="33"/>
        <v>362.62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62035.130000000005</v>
      </c>
      <c r="H446" s="13">
        <f>SUM(H439:H445)</f>
        <v>0</v>
      </c>
      <c r="I446" s="13">
        <f>SUM(I439:I445)</f>
        <v>62035.130000000005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62035.13</v>
      </c>
      <c r="H459" s="18"/>
      <c r="I459" s="56">
        <f t="shared" si="34"/>
        <v>62035.13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62035.13</v>
      </c>
      <c r="H460" s="83">
        <f>SUM(H454:H459)</f>
        <v>0</v>
      </c>
      <c r="I460" s="83">
        <f>SUM(I454:I459)</f>
        <v>62035.13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62035.13</v>
      </c>
      <c r="H461" s="42">
        <f>H452+H460</f>
        <v>0</v>
      </c>
      <c r="I461" s="42">
        <f>I452+I460</f>
        <v>62035.13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184361.24</v>
      </c>
      <c r="G465" s="18">
        <v>3550.23</v>
      </c>
      <c r="H465" s="18">
        <v>-229.6</v>
      </c>
      <c r="I465" s="18"/>
      <c r="J465" s="18">
        <v>62028.91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7947862.8799999999</v>
      </c>
      <c r="G468" s="18">
        <v>164784.49</v>
      </c>
      <c r="H468" s="18">
        <v>186973.29</v>
      </c>
      <c r="I468" s="18"/>
      <c r="J468" s="18">
        <v>6.22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7947862.8799999999</v>
      </c>
      <c r="G470" s="53">
        <f>SUM(G468:G469)</f>
        <v>164784.49</v>
      </c>
      <c r="H470" s="53">
        <f>SUM(H468:H469)</f>
        <v>186973.29</v>
      </c>
      <c r="I470" s="53">
        <f>SUM(I468:I469)</f>
        <v>0</v>
      </c>
      <c r="J470" s="53">
        <f>SUM(J468:J469)</f>
        <v>6.22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8039713.6699999999</v>
      </c>
      <c r="G472" s="18">
        <v>163677</v>
      </c>
      <c r="H472" s="18">
        <v>186973.29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8039713.6699999999</v>
      </c>
      <c r="G474" s="53">
        <f>SUM(G472:G473)</f>
        <v>163677</v>
      </c>
      <c r="H474" s="53">
        <f>SUM(H472:H473)</f>
        <v>186973.29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92510.450000000186</v>
      </c>
      <c r="G476" s="53">
        <f>(G465+G470)- G474</f>
        <v>4657.7200000000012</v>
      </c>
      <c r="H476" s="53">
        <f>(H465+H470)- H474</f>
        <v>-229.60000000000582</v>
      </c>
      <c r="I476" s="53">
        <f>(I465+I470)- I474</f>
        <v>0</v>
      </c>
      <c r="J476" s="53">
        <f>(J465+J470)- J474</f>
        <v>62035.130000000005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3494639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2.69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2100000</v>
      </c>
      <c r="G495" s="18"/>
      <c r="H495" s="18"/>
      <c r="I495" s="18"/>
      <c r="J495" s="18"/>
      <c r="K495" s="53">
        <f>SUM(F495:J495)</f>
        <v>2100000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700000</v>
      </c>
      <c r="G497" s="18"/>
      <c r="H497" s="18"/>
      <c r="I497" s="18"/>
      <c r="J497" s="18"/>
      <c r="K497" s="53">
        <f t="shared" si="35"/>
        <v>700000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1400000</v>
      </c>
      <c r="G498" s="204"/>
      <c r="H498" s="204"/>
      <c r="I498" s="204"/>
      <c r="J498" s="204"/>
      <c r="K498" s="205">
        <f t="shared" si="35"/>
        <v>1400000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38026</v>
      </c>
      <c r="G499" s="18"/>
      <c r="H499" s="18"/>
      <c r="I499" s="18"/>
      <c r="J499" s="18"/>
      <c r="K499" s="53">
        <f t="shared" si="35"/>
        <v>38026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1438026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1438026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700000</v>
      </c>
      <c r="G501" s="204"/>
      <c r="H501" s="204"/>
      <c r="I501" s="204"/>
      <c r="J501" s="204"/>
      <c r="K501" s="205">
        <f t="shared" si="35"/>
        <v>700000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28559</v>
      </c>
      <c r="G502" s="18"/>
      <c r="H502" s="18"/>
      <c r="I502" s="18"/>
      <c r="J502" s="18"/>
      <c r="K502" s="53">
        <f t="shared" si="35"/>
        <v>28559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728559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728559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906084.37</v>
      </c>
      <c r="G521" s="18">
        <v>438887.27</v>
      </c>
      <c r="H521" s="18">
        <v>362939.4</v>
      </c>
      <c r="I521" s="18">
        <v>4121.46</v>
      </c>
      <c r="J521" s="18">
        <v>4399.09</v>
      </c>
      <c r="K521" s="18"/>
      <c r="L521" s="88">
        <f>SUM(F521:K521)</f>
        <v>1716431.59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906084.37</v>
      </c>
      <c r="G524" s="108">
        <f t="shared" ref="G524:L524" si="36">SUM(G521:G523)</f>
        <v>438887.27</v>
      </c>
      <c r="H524" s="108">
        <f t="shared" si="36"/>
        <v>362939.4</v>
      </c>
      <c r="I524" s="108">
        <f t="shared" si="36"/>
        <v>4121.46</v>
      </c>
      <c r="J524" s="108">
        <f t="shared" si="36"/>
        <v>4399.09</v>
      </c>
      <c r="K524" s="108">
        <f t="shared" si="36"/>
        <v>0</v>
      </c>
      <c r="L524" s="89">
        <f t="shared" si="36"/>
        <v>1716431.59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206424.78</v>
      </c>
      <c r="G526" s="18">
        <v>98483.9</v>
      </c>
      <c r="H526" s="18">
        <v>157220.65</v>
      </c>
      <c r="I526" s="18">
        <v>508.26</v>
      </c>
      <c r="J526" s="18"/>
      <c r="K526" s="18"/>
      <c r="L526" s="88">
        <f>SUM(F526:K526)</f>
        <v>462637.58999999997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206424.78</v>
      </c>
      <c r="G529" s="89">
        <f t="shared" ref="G529:L529" si="37">SUM(G526:G528)</f>
        <v>98483.9</v>
      </c>
      <c r="H529" s="89">
        <f t="shared" si="37"/>
        <v>157220.65</v>
      </c>
      <c r="I529" s="89">
        <f t="shared" si="37"/>
        <v>508.26</v>
      </c>
      <c r="J529" s="89">
        <f t="shared" si="37"/>
        <v>0</v>
      </c>
      <c r="K529" s="89">
        <f t="shared" si="37"/>
        <v>0</v>
      </c>
      <c r="L529" s="89">
        <f t="shared" si="37"/>
        <v>462637.58999999997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18045.580000000002</v>
      </c>
      <c r="G531" s="18">
        <v>7564.52</v>
      </c>
      <c r="H531" s="18">
        <v>383.91</v>
      </c>
      <c r="I531" s="18"/>
      <c r="J531" s="18"/>
      <c r="K531" s="18"/>
      <c r="L531" s="88">
        <f>SUM(F531:K531)</f>
        <v>25994.010000000002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18045.580000000002</v>
      </c>
      <c r="G534" s="89">
        <f t="shared" ref="G534:L534" si="38">SUM(G531:G533)</f>
        <v>7564.52</v>
      </c>
      <c r="H534" s="89">
        <f t="shared" si="38"/>
        <v>383.91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25994.010000000002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16267.45</v>
      </c>
      <c r="I541" s="18"/>
      <c r="J541" s="18"/>
      <c r="K541" s="18"/>
      <c r="L541" s="88">
        <f>SUM(F541:K541)</f>
        <v>16267.45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16267.45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16267.45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1130554.73</v>
      </c>
      <c r="G545" s="89">
        <f t="shared" ref="G545:L545" si="41">G524+G529+G534+G539+G544</f>
        <v>544935.69000000006</v>
      </c>
      <c r="H545" s="89">
        <f t="shared" si="41"/>
        <v>536811.41</v>
      </c>
      <c r="I545" s="89">
        <f t="shared" si="41"/>
        <v>4629.72</v>
      </c>
      <c r="J545" s="89">
        <f t="shared" si="41"/>
        <v>4399.09</v>
      </c>
      <c r="K545" s="89">
        <f t="shared" si="41"/>
        <v>0</v>
      </c>
      <c r="L545" s="89">
        <f t="shared" si="41"/>
        <v>2221330.64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1716431.59</v>
      </c>
      <c r="G549" s="87">
        <f>L526</f>
        <v>462637.58999999997</v>
      </c>
      <c r="H549" s="87">
        <f>L531</f>
        <v>25994.010000000002</v>
      </c>
      <c r="I549" s="87">
        <f>L536</f>
        <v>0</v>
      </c>
      <c r="J549" s="87">
        <f>L541</f>
        <v>16267.45</v>
      </c>
      <c r="K549" s="87">
        <f>SUM(F549:J549)</f>
        <v>2221330.64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1716431.59</v>
      </c>
      <c r="G552" s="89">
        <f t="shared" si="42"/>
        <v>462637.58999999997</v>
      </c>
      <c r="H552" s="89">
        <f t="shared" si="42"/>
        <v>25994.010000000002</v>
      </c>
      <c r="I552" s="89">
        <f t="shared" si="42"/>
        <v>0</v>
      </c>
      <c r="J552" s="89">
        <f t="shared" si="42"/>
        <v>16267.45</v>
      </c>
      <c r="K552" s="89">
        <f t="shared" si="42"/>
        <v>2221330.64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9876.7999999999993</v>
      </c>
      <c r="G562" s="18">
        <v>755.59</v>
      </c>
      <c r="H562" s="18"/>
      <c r="I562" s="18"/>
      <c r="J562" s="18"/>
      <c r="K562" s="18"/>
      <c r="L562" s="88">
        <f>SUM(F562:K562)</f>
        <v>10632.39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9876.7999999999993</v>
      </c>
      <c r="G565" s="89">
        <f t="shared" si="44"/>
        <v>755.59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10632.39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9876.7999999999993</v>
      </c>
      <c r="G571" s="89">
        <f t="shared" ref="G571:L571" si="46">G560+G565+G570</f>
        <v>755.59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10632.39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35283.230000000003</v>
      </c>
      <c r="G579" s="18"/>
      <c r="H579" s="18"/>
      <c r="I579" s="87">
        <f t="shared" si="47"/>
        <v>35283.230000000003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59283.26</v>
      </c>
      <c r="G582" s="18"/>
      <c r="H582" s="18"/>
      <c r="I582" s="87">
        <f t="shared" si="47"/>
        <v>59283.26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213446.72</v>
      </c>
      <c r="G583" s="18"/>
      <c r="H583" s="18"/>
      <c r="I583" s="87">
        <f t="shared" si="47"/>
        <v>213446.72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113239.7</v>
      </c>
      <c r="I591" s="18"/>
      <c r="J591" s="18"/>
      <c r="K591" s="104">
        <f t="shared" ref="K591:K597" si="48">SUM(H591:J591)</f>
        <v>113239.7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16267.45</v>
      </c>
      <c r="I592" s="18"/>
      <c r="J592" s="18"/>
      <c r="K592" s="104">
        <f t="shared" si="48"/>
        <v>16267.45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17308.46</v>
      </c>
      <c r="I594" s="18"/>
      <c r="J594" s="18"/>
      <c r="K594" s="104">
        <f t="shared" si="48"/>
        <v>17308.46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38844.46</v>
      </c>
      <c r="I595" s="18"/>
      <c r="J595" s="18"/>
      <c r="K595" s="104">
        <f t="shared" si="48"/>
        <v>38844.46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185660.06999999998</v>
      </c>
      <c r="I598" s="108">
        <f>SUM(I591:I597)</f>
        <v>0</v>
      </c>
      <c r="J598" s="108">
        <f>SUM(J591:J597)</f>
        <v>0</v>
      </c>
      <c r="K598" s="108">
        <f>SUM(K591:K597)</f>
        <v>185660.06999999998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38900.49</v>
      </c>
      <c r="I603" s="18"/>
      <c r="J603" s="18"/>
      <c r="K603" s="104">
        <f>SUM(H603:J603)</f>
        <v>38900.49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38900.49</v>
      </c>
      <c r="I605" s="108">
        <f>SUM(I602:I604)</f>
        <v>0</v>
      </c>
      <c r="J605" s="108">
        <f>SUM(J602:J604)</f>
        <v>0</v>
      </c>
      <c r="K605" s="108">
        <f>SUM(K602:K604)</f>
        <v>38900.49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4987.5</v>
      </c>
      <c r="G611" s="18">
        <v>697.31</v>
      </c>
      <c r="H611" s="18"/>
      <c r="I611" s="18"/>
      <c r="J611" s="18"/>
      <c r="K611" s="18"/>
      <c r="L611" s="88">
        <f>SUM(F611:K611)</f>
        <v>5684.8099999999995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4987.5</v>
      </c>
      <c r="G614" s="108">
        <f t="shared" si="49"/>
        <v>697.31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5684.8099999999995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248101.5</v>
      </c>
      <c r="H617" s="109">
        <f>SUM(F52)</f>
        <v>248101.5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4743.7699999999968</v>
      </c>
      <c r="H618" s="109">
        <f>SUM(G52)</f>
        <v>4743.7700000000004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3915.7299999999996</v>
      </c>
      <c r="H619" s="109">
        <f>SUM(H52)</f>
        <v>3915.73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62035.130000000005</v>
      </c>
      <c r="H621" s="109">
        <f>SUM(J52)</f>
        <v>62035.13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92510.45</v>
      </c>
      <c r="H622" s="109">
        <f>F476</f>
        <v>92510.450000000186</v>
      </c>
      <c r="I622" s="121" t="s">
        <v>101</v>
      </c>
      <c r="J622" s="109">
        <f t="shared" ref="J622:J655" si="50">G622-H622</f>
        <v>-1.8917489796876907E-10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4657.72</v>
      </c>
      <c r="H623" s="109">
        <f>G476</f>
        <v>4657.7200000000012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-229.6</v>
      </c>
      <c r="H624" s="109">
        <f>H476</f>
        <v>-229.60000000000582</v>
      </c>
      <c r="I624" s="121" t="s">
        <v>103</v>
      </c>
      <c r="J624" s="109">
        <f t="shared" si="50"/>
        <v>5.8264504332328215E-12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62035.13</v>
      </c>
      <c r="H626" s="109">
        <f>J476</f>
        <v>62035.130000000005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7947862.8800000008</v>
      </c>
      <c r="H627" s="104">
        <f>SUM(F468)</f>
        <v>7947862.8799999999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164784.49</v>
      </c>
      <c r="H628" s="104">
        <f>SUM(G468)</f>
        <v>164784.49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186973.29</v>
      </c>
      <c r="H629" s="104">
        <f>SUM(H468)</f>
        <v>186973.29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6.22</v>
      </c>
      <c r="H631" s="104">
        <f>SUM(J468)</f>
        <v>6.22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8039713.6699999999</v>
      </c>
      <c r="H632" s="104">
        <f>SUM(F472)</f>
        <v>8039713.6699999999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186973.28999999998</v>
      </c>
      <c r="H633" s="104">
        <f>SUM(H472)</f>
        <v>186973.29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163677</v>
      </c>
      <c r="H635" s="104">
        <f>SUM(G472)</f>
        <v>163677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6.22</v>
      </c>
      <c r="H637" s="164">
        <f>SUM(J468)</f>
        <v>6.22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62035.130000000005</v>
      </c>
      <c r="H640" s="104">
        <f>SUM(G461)</f>
        <v>62035.13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62035.130000000005</v>
      </c>
      <c r="H642" s="104">
        <f>SUM(I461)</f>
        <v>62035.13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6.22</v>
      </c>
      <c r="H644" s="104">
        <f>H408</f>
        <v>6.22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6.22</v>
      </c>
      <c r="H646" s="104">
        <f>L408</f>
        <v>6.22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185660.06999999998</v>
      </c>
      <c r="H647" s="104">
        <f>L208+L226+L244</f>
        <v>185660.07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38900.49</v>
      </c>
      <c r="H648" s="104">
        <f>(J257+J338)-(J255+J336)</f>
        <v>38900.490000000005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185660.07</v>
      </c>
      <c r="H649" s="104">
        <f>H598</f>
        <v>185660.06999999998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7556921.54</v>
      </c>
      <c r="G660" s="19">
        <f>(L229+L309+L359)</f>
        <v>0</v>
      </c>
      <c r="H660" s="19">
        <f>(L247+L328+L360)</f>
        <v>0</v>
      </c>
      <c r="I660" s="19">
        <f>SUM(F660:H660)</f>
        <v>7556921.54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49533.5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49533.5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187503.65</v>
      </c>
      <c r="G662" s="19">
        <f>(L226+L306)-(J226+J306)</f>
        <v>0</v>
      </c>
      <c r="H662" s="19">
        <f>(L244+L325)-(J244+J325)</f>
        <v>0</v>
      </c>
      <c r="I662" s="19">
        <f>SUM(F662:H662)</f>
        <v>187503.65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352598.51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352598.51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6967285.8799999999</v>
      </c>
      <c r="G664" s="19">
        <f>G660-SUM(G661:G663)</f>
        <v>0</v>
      </c>
      <c r="H664" s="19">
        <f>H660-SUM(H661:H663)</f>
        <v>0</v>
      </c>
      <c r="I664" s="19">
        <f>I660-SUM(I661:I663)</f>
        <v>6967285.8799999999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386.91</v>
      </c>
      <c r="G665" s="248"/>
      <c r="H665" s="248"/>
      <c r="I665" s="19">
        <f>SUM(F665:H665)</f>
        <v>386.91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18007.509999999998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18007.509999999998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18007.509999999998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18007.509999999998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PLYMOUTH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2075463.32</v>
      </c>
      <c r="C9" s="229">
        <f>'DOE25'!G197+'DOE25'!G215+'DOE25'!G233+'DOE25'!G276+'DOE25'!G295+'DOE25'!G314</f>
        <v>852366.86</v>
      </c>
    </row>
    <row r="10" spans="1:3" x14ac:dyDescent="0.2">
      <c r="A10" t="s">
        <v>779</v>
      </c>
      <c r="B10" s="240">
        <v>2033061.22</v>
      </c>
      <c r="C10" s="240">
        <v>852366.86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42402.1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2075463.32</v>
      </c>
      <c r="C13" s="231">
        <f>SUM(C10:C12)</f>
        <v>852366.86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975992.77</v>
      </c>
      <c r="C18" s="229">
        <f>'DOE25'!G198+'DOE25'!G216+'DOE25'!G234+'DOE25'!G277+'DOE25'!G296+'DOE25'!G315</f>
        <v>463221.64</v>
      </c>
    </row>
    <row r="19" spans="1:3" x14ac:dyDescent="0.2">
      <c r="A19" t="s">
        <v>779</v>
      </c>
      <c r="B19" s="240">
        <v>543458.26</v>
      </c>
      <c r="C19" s="240">
        <v>249362.59</v>
      </c>
    </row>
    <row r="20" spans="1:3" x14ac:dyDescent="0.2">
      <c r="A20" t="s">
        <v>780</v>
      </c>
      <c r="B20" s="240">
        <v>391869.52</v>
      </c>
      <c r="C20" s="240">
        <v>199855.97</v>
      </c>
    </row>
    <row r="21" spans="1:3" x14ac:dyDescent="0.2">
      <c r="A21" t="s">
        <v>781</v>
      </c>
      <c r="B21" s="240">
        <v>40664.99</v>
      </c>
      <c r="C21" s="240">
        <v>14003.08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975992.77</v>
      </c>
      <c r="C22" s="231">
        <f>SUM(C19:C21)</f>
        <v>463221.64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128903.55</v>
      </c>
      <c r="C36" s="235">
        <f>'DOE25'!G200+'DOE25'!G218+'DOE25'!G236+'DOE25'!G279+'DOE25'!G298+'DOE25'!G317</f>
        <v>22812.050000000003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128903.55</v>
      </c>
      <c r="C39" s="240">
        <v>22812.05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128903.55</v>
      </c>
      <c r="C40" s="231">
        <f>SUM(C37:C39)</f>
        <v>22812.05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PLYMOUTH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4916956.79</v>
      </c>
      <c r="D5" s="20">
        <f>SUM('DOE25'!L197:L200)+SUM('DOE25'!L215:L218)+SUM('DOE25'!L233:L236)-F5-G5</f>
        <v>4897576.18</v>
      </c>
      <c r="E5" s="243"/>
      <c r="F5" s="255">
        <f>SUM('DOE25'!J197:J200)+SUM('DOE25'!J215:J218)+SUM('DOE25'!J233:J236)</f>
        <v>8217.11</v>
      </c>
      <c r="G5" s="53">
        <f>SUM('DOE25'!K197:K200)+SUM('DOE25'!K215:K218)+SUM('DOE25'!K233:K236)</f>
        <v>11163.5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595417.61</v>
      </c>
      <c r="D6" s="20">
        <f>'DOE25'!L202+'DOE25'!L220+'DOE25'!L238-F6-G6</f>
        <v>595417.61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149582.13</v>
      </c>
      <c r="D7" s="20">
        <f>'DOE25'!L203+'DOE25'!L221+'DOE25'!L239-F7-G7</f>
        <v>149582.13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203471.25</v>
      </c>
      <c r="D8" s="243"/>
      <c r="E8" s="20">
        <f>'DOE25'!L204+'DOE25'!L222+'DOE25'!L240-F8-G8-D9-D11</f>
        <v>199510.49</v>
      </c>
      <c r="F8" s="255">
        <f>'DOE25'!J204+'DOE25'!J222+'DOE25'!J240</f>
        <v>0</v>
      </c>
      <c r="G8" s="53">
        <f>'DOE25'!K204+'DOE25'!K222+'DOE25'!K240</f>
        <v>3960.76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24965.759999999998</v>
      </c>
      <c r="D9" s="244">
        <v>24965.759999999998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6000</v>
      </c>
      <c r="D10" s="243"/>
      <c r="E10" s="244">
        <v>6000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87695.33</v>
      </c>
      <c r="D11" s="244">
        <v>87695.33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418378.30000000005</v>
      </c>
      <c r="D12" s="20">
        <f>'DOE25'!L205+'DOE25'!L223+'DOE25'!L241-F12-G12</f>
        <v>416219.03</v>
      </c>
      <c r="E12" s="243"/>
      <c r="F12" s="255">
        <f>'DOE25'!J205+'DOE25'!J223+'DOE25'!J241</f>
        <v>710.27</v>
      </c>
      <c r="G12" s="53">
        <f>'DOE25'!K205+'DOE25'!K223+'DOE25'!K241</f>
        <v>1449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224.05</v>
      </c>
      <c r="D13" s="243"/>
      <c r="E13" s="20">
        <f>'DOE25'!L206+'DOE25'!L224+'DOE25'!L242-F13-G13</f>
        <v>224.05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623919.96</v>
      </c>
      <c r="D14" s="20">
        <f>'DOE25'!L207+'DOE25'!L225+'DOE25'!L243-F14-G14</f>
        <v>597755.68999999994</v>
      </c>
      <c r="E14" s="243"/>
      <c r="F14" s="255">
        <f>'DOE25'!J207+'DOE25'!J225+'DOE25'!J243</f>
        <v>26164.27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185660.07</v>
      </c>
      <c r="D15" s="20">
        <f>'DOE25'!L208+'DOE25'!L226+'DOE25'!L244-F15-G15</f>
        <v>185660.07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84992.569999999992</v>
      </c>
      <c r="D19" s="20">
        <f>'DOE25'!L253-F19-G19</f>
        <v>84992.569999999992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748449.85</v>
      </c>
      <c r="D25" s="243"/>
      <c r="E25" s="243"/>
      <c r="F25" s="258"/>
      <c r="G25" s="256"/>
      <c r="H25" s="257">
        <f>'DOE25'!L260+'DOE25'!L261+'DOE25'!L341+'DOE25'!L342</f>
        <v>748449.85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163677</v>
      </c>
      <c r="D29" s="20">
        <f>'DOE25'!L358+'DOE25'!L359+'DOE25'!L360-'DOE25'!I367-F29-G29</f>
        <v>163677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186973.28999999998</v>
      </c>
      <c r="D31" s="20">
        <f>'DOE25'!L290+'DOE25'!L309+'DOE25'!L328+'DOE25'!L333+'DOE25'!L334+'DOE25'!L335-F31-G31</f>
        <v>179304.02</v>
      </c>
      <c r="E31" s="243"/>
      <c r="F31" s="255">
        <f>'DOE25'!J290+'DOE25'!J309+'DOE25'!J328+'DOE25'!J333+'DOE25'!J334+'DOE25'!J335</f>
        <v>3808.84</v>
      </c>
      <c r="G31" s="53">
        <f>'DOE25'!K290+'DOE25'!K309+'DOE25'!K328+'DOE25'!K333+'DOE25'!K334+'DOE25'!K335</f>
        <v>3860.43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7382845.3900000006</v>
      </c>
      <c r="E33" s="246">
        <f>SUM(E5:E31)</f>
        <v>205734.53999999998</v>
      </c>
      <c r="F33" s="246">
        <f>SUM(F5:F31)</f>
        <v>38900.490000000005</v>
      </c>
      <c r="G33" s="246">
        <f>SUM(G5:G31)</f>
        <v>20433.690000000002</v>
      </c>
      <c r="H33" s="246">
        <f>SUM(H5:H31)</f>
        <v>748449.85</v>
      </c>
    </row>
    <row r="35" spans="2:8" ht="12" thickBot="1" x14ac:dyDescent="0.25">
      <c r="B35" s="253" t="s">
        <v>847</v>
      </c>
      <c r="D35" s="254">
        <f>E33</f>
        <v>205734.53999999998</v>
      </c>
      <c r="E35" s="249"/>
    </row>
    <row r="36" spans="2:8" ht="12" thickTop="1" x14ac:dyDescent="0.2">
      <c r="B36" t="s">
        <v>815</v>
      </c>
      <c r="D36" s="20">
        <f>D33</f>
        <v>7382845.3900000006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PLYMOUTH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165906.03</v>
      </c>
      <c r="D8" s="95">
        <f>'DOE25'!G9</f>
        <v>-42980.51</v>
      </c>
      <c r="E8" s="95">
        <f>'DOE25'!H9</f>
        <v>-24743.56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61672.51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80601.070000000007</v>
      </c>
      <c r="D12" s="95">
        <f>'DOE25'!G13</f>
        <v>47724.28</v>
      </c>
      <c r="E12" s="95">
        <f>'DOE25'!H13</f>
        <v>28659.29</v>
      </c>
      <c r="F12" s="95">
        <f>'DOE25'!I13</f>
        <v>0</v>
      </c>
      <c r="G12" s="95">
        <f>'DOE25'!J13</f>
        <v>362.62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1594.4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248101.5</v>
      </c>
      <c r="D18" s="41">
        <f>SUM(D8:D17)</f>
        <v>4743.7699999999968</v>
      </c>
      <c r="E18" s="41">
        <f>SUM(E8:E17)</f>
        <v>3915.7299999999996</v>
      </c>
      <c r="F18" s="41">
        <f>SUM(F8:F17)</f>
        <v>0</v>
      </c>
      <c r="G18" s="41">
        <f>SUM(G8:G17)</f>
        <v>62035.130000000005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152774.39000000001</v>
      </c>
      <c r="D23" s="95">
        <f>'DOE25'!G24</f>
        <v>86.05</v>
      </c>
      <c r="E23" s="95">
        <f>'DOE25'!H24</f>
        <v>1218.58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2816.66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2926.75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155591.05000000002</v>
      </c>
      <c r="D31" s="41">
        <f>SUM(D21:D30)</f>
        <v>86.05</v>
      </c>
      <c r="E31" s="41">
        <f>SUM(E21:E30)</f>
        <v>4145.33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62035.13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5510</v>
      </c>
      <c r="D48" s="95">
        <f>'DOE25'!G49</f>
        <v>4657.72</v>
      </c>
      <c r="E48" s="95">
        <f>'DOE25'!H49</f>
        <v>-229.6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87000.45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92510.45</v>
      </c>
      <c r="D50" s="41">
        <f>SUM(D34:D49)</f>
        <v>4657.72</v>
      </c>
      <c r="E50" s="41">
        <f>SUM(E34:E49)</f>
        <v>-229.6</v>
      </c>
      <c r="F50" s="41">
        <f>SUM(F34:F49)</f>
        <v>0</v>
      </c>
      <c r="G50" s="41">
        <f>SUM(G34:G49)</f>
        <v>62035.13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248101.5</v>
      </c>
      <c r="D51" s="41">
        <f>D50+D31</f>
        <v>4743.7700000000004</v>
      </c>
      <c r="E51" s="41">
        <f>E50+E31</f>
        <v>3915.73</v>
      </c>
      <c r="F51" s="41">
        <f>F50+F31</f>
        <v>0</v>
      </c>
      <c r="G51" s="41">
        <f>G50+G31</f>
        <v>62035.13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3531640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610811.84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7.68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6.22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49533.5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322080.55</v>
      </c>
      <c r="D61" s="95">
        <f>SUM('DOE25'!G98:G110)</f>
        <v>0</v>
      </c>
      <c r="E61" s="95">
        <f>SUM('DOE25'!H98:H110)</f>
        <v>16292.72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932900.07000000007</v>
      </c>
      <c r="D62" s="130">
        <f>SUM(D57:D61)</f>
        <v>49533.5</v>
      </c>
      <c r="E62" s="130">
        <f>SUM(E57:E61)</f>
        <v>16292.72</v>
      </c>
      <c r="F62" s="130">
        <f>SUM(F57:F61)</f>
        <v>0</v>
      </c>
      <c r="G62" s="130">
        <f>SUM(G57:G61)</f>
        <v>6.22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4464540.07</v>
      </c>
      <c r="D63" s="22">
        <f>D56+D62</f>
        <v>49533.5</v>
      </c>
      <c r="E63" s="22">
        <f>E56+E62</f>
        <v>16292.72</v>
      </c>
      <c r="F63" s="22">
        <f>F56+F62</f>
        <v>0</v>
      </c>
      <c r="G63" s="22">
        <f>G56+G62</f>
        <v>6.22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2184762.4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605182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2789944.4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420000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115870.97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1696.31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535870.97</v>
      </c>
      <c r="D78" s="130">
        <f>SUM(D72:D77)</f>
        <v>1696.31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3325815.37</v>
      </c>
      <c r="D81" s="130">
        <f>SUM(D79:D80)+D78+D70</f>
        <v>1696.31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154734.96</v>
      </c>
      <c r="D88" s="95">
        <f>SUM('DOE25'!G153:G161)</f>
        <v>113554.68</v>
      </c>
      <c r="E88" s="95">
        <f>SUM('DOE25'!H153:H161)</f>
        <v>170680.57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2772.48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157507.44</v>
      </c>
      <c r="D91" s="131">
        <f>SUM(D85:D90)</f>
        <v>113554.68</v>
      </c>
      <c r="E91" s="131">
        <f>SUM(E85:E90)</f>
        <v>170680.57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7947862.8800000008</v>
      </c>
      <c r="D104" s="86">
        <f>D63+D81+D91+D103</f>
        <v>164784.49</v>
      </c>
      <c r="E104" s="86">
        <f>E63+E81+E91+E103</f>
        <v>186973.29</v>
      </c>
      <c r="F104" s="86">
        <f>F63+F81+F91+F103</f>
        <v>0</v>
      </c>
      <c r="G104" s="86">
        <f>G63+G81+G103</f>
        <v>6.22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3020586.71</v>
      </c>
      <c r="D109" s="24" t="s">
        <v>289</v>
      </c>
      <c r="E109" s="95">
        <f>('DOE25'!L276)+('DOE25'!L295)+('DOE25'!L314)</f>
        <v>29702.059999999998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1727063.62</v>
      </c>
      <c r="D110" s="24" t="s">
        <v>289</v>
      </c>
      <c r="E110" s="95">
        <f>('DOE25'!L277)+('DOE25'!L296)+('DOE25'!L315)</f>
        <v>84214.790000000008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169306.46000000002</v>
      </c>
      <c r="D112" s="24" t="s">
        <v>289</v>
      </c>
      <c r="E112" s="95">
        <f>+('DOE25'!L279)+('DOE25'!L298)+('DOE25'!L317)</f>
        <v>13545.269999999999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84992.569999999992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5001949.3600000003</v>
      </c>
      <c r="D115" s="86">
        <f>SUM(D109:D114)</f>
        <v>0</v>
      </c>
      <c r="E115" s="86">
        <f>SUM(E109:E114)</f>
        <v>127462.12000000001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595417.61</v>
      </c>
      <c r="D118" s="24" t="s">
        <v>289</v>
      </c>
      <c r="E118" s="95">
        <f>+('DOE25'!L281)+('DOE25'!L300)+('DOE25'!L319)</f>
        <v>37280.539999999994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149582.13</v>
      </c>
      <c r="D119" s="24" t="s">
        <v>289</v>
      </c>
      <c r="E119" s="95">
        <f>+('DOE25'!L282)+('DOE25'!L301)+('DOE25'!L320)</f>
        <v>7123.6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316132.34000000003</v>
      </c>
      <c r="D120" s="24" t="s">
        <v>289</v>
      </c>
      <c r="E120" s="95">
        <f>+('DOE25'!L283)+('DOE25'!L302)+('DOE25'!L321)</f>
        <v>7837.62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418378.30000000005</v>
      </c>
      <c r="D121" s="24" t="s">
        <v>289</v>
      </c>
      <c r="E121" s="95">
        <f>+('DOE25'!L284)+('DOE25'!L303)+('DOE25'!L322)</f>
        <v>1565.4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224.05</v>
      </c>
      <c r="D122" s="24" t="s">
        <v>289</v>
      </c>
      <c r="E122" s="95">
        <f>+('DOE25'!L285)+('DOE25'!L304)+('DOE25'!L323)</f>
        <v>3860.43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623919.96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185660.07</v>
      </c>
      <c r="D124" s="24" t="s">
        <v>289</v>
      </c>
      <c r="E124" s="95">
        <f>+('DOE25'!L287)+('DOE25'!L306)+('DOE25'!L325)</f>
        <v>1843.58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163677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2289314.46</v>
      </c>
      <c r="D128" s="86">
        <f>SUM(D118:D127)</f>
        <v>163677</v>
      </c>
      <c r="E128" s="86">
        <f>SUM(E118:E127)</f>
        <v>59511.17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48449.85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6.22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-6.22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748449.85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8039713.6699999999</v>
      </c>
      <c r="D145" s="86">
        <f>(D115+D128+D144)</f>
        <v>163677</v>
      </c>
      <c r="E145" s="86">
        <f>(E115+E128+E144)</f>
        <v>186973.29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3494639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2100000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700000</v>
      </c>
    </row>
    <row r="159" spans="1:9" x14ac:dyDescent="0.2">
      <c r="A159" s="22" t="s">
        <v>35</v>
      </c>
      <c r="B159" s="137">
        <f>'DOE25'!F498</f>
        <v>1400000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1400000</v>
      </c>
    </row>
    <row r="160" spans="1:9" x14ac:dyDescent="0.2">
      <c r="A160" s="22" t="s">
        <v>36</v>
      </c>
      <c r="B160" s="137">
        <f>'DOE25'!F499</f>
        <v>38026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38026</v>
      </c>
    </row>
    <row r="161" spans="1:7" x14ac:dyDescent="0.2">
      <c r="A161" s="22" t="s">
        <v>37</v>
      </c>
      <c r="B161" s="137">
        <f>'DOE25'!F500</f>
        <v>1438026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1438026</v>
      </c>
    </row>
    <row r="162" spans="1:7" x14ac:dyDescent="0.2">
      <c r="A162" s="22" t="s">
        <v>38</v>
      </c>
      <c r="B162" s="137">
        <f>'DOE25'!F501</f>
        <v>700000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700000</v>
      </c>
    </row>
    <row r="163" spans="1:7" x14ac:dyDescent="0.2">
      <c r="A163" s="22" t="s">
        <v>39</v>
      </c>
      <c r="B163" s="137">
        <f>'DOE25'!F502</f>
        <v>28559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28559</v>
      </c>
    </row>
    <row r="164" spans="1:7" x14ac:dyDescent="0.2">
      <c r="A164" s="22" t="s">
        <v>246</v>
      </c>
      <c r="B164" s="137">
        <f>'DOE25'!F503</f>
        <v>728559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728559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PLYMOUTH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18008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18008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3050289</v>
      </c>
      <c r="D10" s="182">
        <f>ROUND((C10/$C$28)*100,1)</f>
        <v>39.9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1811278</v>
      </c>
      <c r="D11" s="182">
        <f>ROUND((C11/$C$28)*100,1)</f>
        <v>23.7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182852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632698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156706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323970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419944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4084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623920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187504</v>
      </c>
      <c r="D21" s="182">
        <f t="shared" si="0"/>
        <v>2.5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84993</v>
      </c>
      <c r="D24" s="182">
        <f t="shared" si="0"/>
        <v>1.1000000000000001</v>
      </c>
    </row>
    <row r="25" spans="1:4" x14ac:dyDescent="0.2">
      <c r="A25">
        <v>5120</v>
      </c>
      <c r="B25" t="s">
        <v>720</v>
      </c>
      <c r="C25" s="179">
        <f>ROUND('DOE25'!L261+'DOE25'!L342,0)</f>
        <v>48450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114143.5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7640831.5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7640831.5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700000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3531640</v>
      </c>
      <c r="D35" s="182">
        <f t="shared" ref="D35:D40" si="1">ROUND((C35/$C$41)*100,1)</f>
        <v>42.8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949199.00999999978</v>
      </c>
      <c r="D36" s="182">
        <f t="shared" si="1"/>
        <v>11.5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2789944</v>
      </c>
      <c r="D37" s="182">
        <f t="shared" si="1"/>
        <v>33.799999999999997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537567</v>
      </c>
      <c r="D38" s="182">
        <f t="shared" si="1"/>
        <v>6.5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441743</v>
      </c>
      <c r="D39" s="182">
        <f t="shared" si="1"/>
        <v>5.4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8250093.0099999998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PLYMOUTH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2014-04-29T12:07:51Z</cp:lastPrinted>
  <dcterms:created xsi:type="dcterms:W3CDTF">1997-12-04T19:04:30Z</dcterms:created>
  <dcterms:modified xsi:type="dcterms:W3CDTF">2014-08-26T14:11:24Z</dcterms:modified>
</cp:coreProperties>
</file>