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C12" i="10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21" i="10"/>
  <c r="L250" i="1"/>
  <c r="L332" i="1"/>
  <c r="L254" i="1"/>
  <c r="C25" i="10"/>
  <c r="L268" i="1"/>
  <c r="L269" i="1"/>
  <c r="L349" i="1"/>
  <c r="L350" i="1"/>
  <c r="I665" i="1"/>
  <c r="I670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1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E121" i="2"/>
  <c r="E122" i="2"/>
  <c r="C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G545" i="1" s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L560" i="1" s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G257" i="1"/>
  <c r="G271" i="1" s="1"/>
  <c r="G164" i="2"/>
  <c r="C18" i="2"/>
  <c r="C26" i="10"/>
  <c r="L351" i="1"/>
  <c r="L290" i="1"/>
  <c r="A31" i="1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J617" i="1"/>
  <c r="E78" i="2"/>
  <c r="E81" i="2" s="1"/>
  <c r="L427" i="1"/>
  <c r="H112" i="1"/>
  <c r="F112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F169" i="1"/>
  <c r="J140" i="1"/>
  <c r="I552" i="1"/>
  <c r="K550" i="1"/>
  <c r="G22" i="2"/>
  <c r="K598" i="1"/>
  <c r="G647" i="1" s="1"/>
  <c r="J552" i="1"/>
  <c r="H552" i="1"/>
  <c r="C29" i="10"/>
  <c r="H140" i="1"/>
  <c r="L401" i="1"/>
  <c r="C139" i="2" s="1"/>
  <c r="L393" i="1"/>
  <c r="A13" i="12"/>
  <c r="F22" i="13"/>
  <c r="H25" i="13"/>
  <c r="C25" i="13" s="1"/>
  <c r="J651" i="1"/>
  <c r="J640" i="1"/>
  <c r="H571" i="1"/>
  <c r="J545" i="1"/>
  <c r="H338" i="1"/>
  <c r="H352" i="1" s="1"/>
  <c r="G192" i="1"/>
  <c r="H192" i="1"/>
  <c r="F552" i="1"/>
  <c r="C35" i="10"/>
  <c r="D5" i="13"/>
  <c r="C5" i="13" s="1"/>
  <c r="J655" i="1"/>
  <c r="J645" i="1"/>
  <c r="L570" i="1"/>
  <c r="I571" i="1"/>
  <c r="I545" i="1"/>
  <c r="J636" i="1"/>
  <c r="G36" i="2"/>
  <c r="L565" i="1"/>
  <c r="K551" i="1"/>
  <c r="C22" i="13"/>
  <c r="C138" i="2"/>
  <c r="H33" i="13"/>
  <c r="F571" i="1" l="1"/>
  <c r="H545" i="1"/>
  <c r="K549" i="1"/>
  <c r="K552" i="1" s="1"/>
  <c r="L524" i="1"/>
  <c r="L545" i="1" s="1"/>
  <c r="J257" i="1"/>
  <c r="J271" i="1" s="1"/>
  <c r="H257" i="1"/>
  <c r="H271" i="1" s="1"/>
  <c r="G338" i="1"/>
  <c r="G352" i="1" s="1"/>
  <c r="J641" i="1"/>
  <c r="C81" i="2"/>
  <c r="C62" i="2"/>
  <c r="C63" i="2" s="1"/>
  <c r="F661" i="1"/>
  <c r="I661" i="1" s="1"/>
  <c r="L362" i="1"/>
  <c r="G635" i="1" s="1"/>
  <c r="J635" i="1" s="1"/>
  <c r="L328" i="1"/>
  <c r="E111" i="2"/>
  <c r="K338" i="1"/>
  <c r="K352" i="1" s="1"/>
  <c r="L309" i="1"/>
  <c r="E123" i="2"/>
  <c r="E128" i="2" s="1"/>
  <c r="C13" i="10"/>
  <c r="E115" i="2"/>
  <c r="F338" i="1"/>
  <c r="F352" i="1" s="1"/>
  <c r="C10" i="10"/>
  <c r="C20" i="10"/>
  <c r="C16" i="10"/>
  <c r="C17" i="10"/>
  <c r="E13" i="13"/>
  <c r="C13" i="13" s="1"/>
  <c r="C19" i="10"/>
  <c r="C18" i="10"/>
  <c r="L247" i="1"/>
  <c r="C15" i="10"/>
  <c r="C110" i="2"/>
  <c r="K257" i="1"/>
  <c r="K271" i="1" s="1"/>
  <c r="I257" i="1"/>
  <c r="I271" i="1" s="1"/>
  <c r="E16" i="13"/>
  <c r="C16" i="13" s="1"/>
  <c r="I662" i="1"/>
  <c r="C122" i="2"/>
  <c r="C121" i="2"/>
  <c r="L229" i="1"/>
  <c r="G660" i="1" s="1"/>
  <c r="G664" i="1" s="1"/>
  <c r="G667" i="1" s="1"/>
  <c r="D6" i="13"/>
  <c r="C6" i="13" s="1"/>
  <c r="C118" i="2"/>
  <c r="C115" i="2"/>
  <c r="C11" i="10"/>
  <c r="J647" i="1"/>
  <c r="E33" i="13"/>
  <c r="D35" i="13" s="1"/>
  <c r="L211" i="1"/>
  <c r="F660" i="1" s="1"/>
  <c r="C120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G18" i="2" s="1"/>
  <c r="J19" i="1"/>
  <c r="G621" i="1" s="1"/>
  <c r="F33" i="13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L338" i="1" l="1"/>
  <c r="L352" i="1" s="1"/>
  <c r="G633" i="1" s="1"/>
  <c r="J633" i="1" s="1"/>
  <c r="L408" i="1"/>
  <c r="F664" i="1"/>
  <c r="F672" i="1" s="1"/>
  <c r="C4" i="10" s="1"/>
  <c r="H660" i="1"/>
  <c r="H664" i="1" s="1"/>
  <c r="H672" i="1" s="1"/>
  <c r="C6" i="10" s="1"/>
  <c r="E145" i="2"/>
  <c r="D31" i="13"/>
  <c r="C31" i="13" s="1"/>
  <c r="C28" i="10"/>
  <c r="D24" i="10" s="1"/>
  <c r="C128" i="2"/>
  <c r="C145" i="2" s="1"/>
  <c r="G672" i="1"/>
  <c r="C5" i="10" s="1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G637" i="1"/>
  <c r="J637" i="1" s="1"/>
  <c r="H646" i="1"/>
  <c r="J646" i="1" s="1"/>
  <c r="F667" i="1"/>
  <c r="I660" i="1"/>
  <c r="I664" i="1" s="1"/>
  <c r="I672" i="1" s="1"/>
  <c r="C7" i="10" s="1"/>
  <c r="D23" i="10"/>
  <c r="D33" i="13"/>
  <c r="D36" i="13" s="1"/>
  <c r="D10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<sst xmlns="http://schemas.openxmlformats.org/spreadsheetml/2006/main" count="3956" uniqueCount="913">
  <si>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</si>
  <si>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</si>
  <si>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</si>
  <si>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</si>
  <si>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</si>
  <si>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</si>
  <si>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</si>
  <si>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</si>
  <si>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</si>
  <si>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</si>
  <si>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</si>
  <si>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</si>
  <si>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</si>
  <si>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</si>
  <si>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</si>
  <si>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</si>
  <si>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</si>
  <si>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</si>
  <si>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</si>
  <si>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</si>
  <si>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</si>
  <si>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</si>
  <si>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</si>
  <si>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</si>
  <si>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</si>
  <si>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</si>
  <si>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</si>
  <si>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</si>
  <si>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</si>
  <si>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</si>
  <si>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</si>
  <si>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</si>
  <si>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</si>
  <si>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</si>
  <si>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</si>
  <si>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</si>
  <si>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</si>
  <si>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</si>
  <si>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</si>
  <si>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</si>
  <si>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</si>
  <si>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</si>
  <si>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</si>
  <si>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</si>
  <si>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</si>
  <si>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</si>
  <si>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</si>
  <si>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</si>
  <si>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</si>
  <si>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</si>
  <si>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</si>
  <si>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</si>
  <si>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</si>
  <si>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</si>
  <si>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</si>
  <si>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</si>
  <si>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</si>
  <si>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</si>
  <si>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</si>
  <si>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</si>
  <si>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</si>
  <si>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</si>
  <si>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</si>
  <si>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</si>
  <si>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</si>
  <si>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</si>
  <si>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</si>
  <si>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</si>
  <si>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</si>
  <si>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</si>
  <si>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</si>
  <si>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</si>
  <si>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</si>
  <si>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</si>
  <si>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</si>
  <si>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</si>
  <si>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</si>
  <si>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</si>
  <si>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</si>
  <si>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</si>
  <si>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</si>
  <si>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</si>
  <si>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</si>
  <si>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</si>
  <si>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</si>
  <si>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</si>
  <si>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</si>
  <si>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</si>
  <si>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</si>
  <si>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</si>
  <si>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</si>
  <si>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</si>
  <si>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</si>
  <si>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</si>
  <si>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</si>
  <si>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</si>
  <si>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</si>
  <si>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</si>
  <si>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</si>
  <si>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</si>
  <si>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</si>
  <si>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</si>
  <si>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</si>
  <si>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</si>
  <si>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</si>
  <si>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</si>
  <si>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</si>
  <si>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</si>
  <si>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</si>
  <si>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</si>
  <si>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</si>
  <si>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</si>
  <si>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</si>
  <si>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</si>
  <si>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</si>
  <si>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</si>
  <si>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</si>
  <si>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</si>
  <si>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</si>
  <si>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</si>
  <si>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</si>
  <si>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</si>
  <si>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</si>
  <si>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</si>
  <si>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</si>
  <si>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</si>
  <si>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</si>
  <si>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</si>
  <si>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</si>
  <si>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</si>
  <si>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</si>
  <si>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</si>
  <si>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</si>
  <si>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</si>
  <si>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</si>
  <si>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</si>
  <si>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</si>
  <si>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</si>
  <si>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</si>
  <si>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</si>
  <si>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</si>
  <si>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</si>
  <si>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</si>
  <si>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</si>
  <si>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</si>
  <si>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</si>
  <si>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</si>
  <si>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</si>
  <si>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</si>
  <si>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</si>
  <si>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</si>
  <si>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</si>
  <si>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</si>
  <si>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</si>
  <si>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</si>
  <si>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</si>
  <si>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</si>
  <si>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</si>
  <si>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</si>
  <si>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</si>
  <si>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</si>
  <si>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</si>
  <si>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</si>
  <si>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</si>
  <si>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</si>
  <si>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</si>
  <si>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</si>
  <si>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</si>
  <si>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</si>
  <si>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</si>
  <si>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</si>
  <si>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</si>
  <si>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</si>
  <si>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</si>
  <si>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</si>
  <si>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</si>
  <si>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</si>
  <si>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</si>
  <si>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</si>
  <si>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</si>
  <si>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</si>
  <si>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</si>
  <si>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</si>
  <si>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</si>
  <si>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</si>
  <si>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</si>
  <si>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</si>
  <si>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</si>
  <si>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</si>
  <si>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</si>
  <si>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</si>
  <si>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</si>
  <si>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</si>
  <si>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</si>
  <si>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</si>
  <si>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</si>
  <si>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</si>
  <si>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</si>
  <si>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</si>
  <si>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</si>
  <si>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</si>
  <si>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</si>
  <si>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</si>
  <si>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</si>
  <si>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</si>
  <si>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</si>
  <si>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</si>
  <si>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</si>
  <si>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</si>
  <si>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</si>
  <si>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</si>
  <si>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</si>
  <si>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</si>
  <si>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</si>
  <si>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</si>
  <si>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</si>
  <si>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</si>
  <si>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</si>
  <si>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</si>
  <si>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</si>
  <si>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</si>
  <si>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</si>
  <si>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</si>
  <si>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</si>
  <si>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</si>
  <si>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</si>
  <si>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</si>
  <si>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</si>
  <si>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</si>
  <si>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</si>
  <si>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</si>
  <si>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</si>
  <si>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</si>
  <si>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</si>
  <si>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</si>
  <si>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</si>
  <si>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</si>
  <si>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</si>
  <si>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</si>
  <si>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</si>
  <si>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</si>
  <si>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</si>
  <si>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</si>
  <si>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</si>
  <si>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</si>
  <si>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</si>
  <si>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</si>
  <si>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</si>
  <si>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</si>
  <si>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</si>
  <si>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</si>
  <si>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</si>
  <si>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</si>
  <si>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</si>
  <si>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</si>
  <si>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</si>
  <si>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</si>
  <si>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</si>
  <si>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</si>
  <si>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</si>
  <si>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</si>
  <si>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</si>
  <si>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</si>
  <si>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</si>
  <si>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</si>
  <si>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</si>
  <si>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</si>
  <si>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</si>
  <si>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</si>
  <si>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</si>
  <si>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</si>
  <si>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</si>
  <si>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</si>
  <si>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</si>
  <si>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</si>
  <si>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</si>
  <si>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</si>
  <si>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</si>
  <si>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</si>
  <si>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</si>
  <si>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</si>
  <si>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</si>
  <si>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</si>
  <si>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</si>
  <si>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</si>
  <si>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</si>
  <si>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</si>
  <si>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</si>
  <si>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</si>
  <si>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</si>
  <si>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</si>
  <si>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</si>
  <si>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</si>
  <si>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</si>
  <si>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</si>
  <si>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</si>
  <si>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</si>
  <si>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</si>
  <si>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</si>
  <si>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</si>
  <si>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</si>
  <si>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</si>
  <si>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</si>
  <si>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</si>
  <si>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</si>
  <si>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</si>
  <si>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</si>
  <si>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</si>
  <si>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</si>
  <si>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</si>
  <si>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</si>
  <si>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</si>
  <si>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</si>
  <si>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</si>
  <si>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</si>
  <si>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</si>
  <si>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</si>
  <si>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</si>
  <si>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</si>
  <si>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</si>
  <si>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</si>
  <si>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</si>
  <si>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</si>
  <si>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</si>
  <si>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</si>
  <si>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</si>
  <si>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</si>
  <si>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</si>
  <si>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</si>
  <si>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</si>
  <si>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</si>
  <si>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</si>
  <si>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</si>
  <si>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</si>
  <si>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</si>
  <si>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</si>
  <si>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</si>
  <si>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</si>
  <si>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</si>
  <si>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</si>
  <si>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</si>
  <si>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</si>
  <si>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</si>
  <si>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</si>
  <si>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</si>
  <si>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</si>
  <si>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</si>
  <si>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</si>
  <si>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</si>
  <si>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</si>
  <si>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</si>
  <si>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</si>
  <si>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</si>
  <si>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</si>
  <si>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</si>
  <si>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</si>
  <si>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</si>
  <si>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</si>
  <si>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</si>
  <si>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</si>
  <si>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</si>
  <si>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</si>
  <si>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</si>
  <si>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</si>
  <si>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</si>
  <si>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</si>
  <si>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</si>
  <si>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</si>
  <si>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</si>
  <si>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</si>
  <si>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</si>
  <si>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</si>
  <si>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</si>
  <si>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</si>
  <si>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</si>
  <si>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</si>
  <si>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</si>
  <si>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</si>
  <si>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</si>
  <si>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</si>
  <si>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</si>
  <si>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</si>
  <si>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</si>
  <si>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</si>
  <si>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</si>
  <si>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</si>
  <si>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</si>
  <si>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</si>
  <si>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</si>
  <si>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</si>
  <si>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</si>
  <si>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</si>
  <si>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</si>
  <si>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</si>
  <si>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</si>
  <si>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</si>
  <si>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</si>
  <si>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</si>
  <si>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</si>
  <si>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</si>
  <si>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</si>
  <si>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</si>
  <si>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</si>
  <si>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</si>
  <si>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</si>
  <si>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</si>
  <si>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</si>
  <si>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</si>
  <si>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</si>
  <si>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</si>
  <si>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</si>
  <si>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</si>
  <si>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</si>
  <si>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</si>
  <si>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</si>
  <si>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</si>
  <si>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</si>
  <si>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</si>
  <si>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</si>
  <si>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</si>
  <si>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</si>
  <si>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</si>
  <si>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</si>
  <si>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</si>
  <si>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</si>
  <si>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</si>
  <si>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</si>
  <si>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</si>
  <si>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</si>
  <si>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</si>
  <si>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</si>
  <si>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</si>
  <si>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</si>
  <si>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</si>
  <si>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</si>
  <si>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</si>
  <si>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</si>
  <si>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</si>
  <si>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</si>
  <si>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</si>
  <si>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</si>
  <si>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</si>
  <si>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</si>
  <si>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</si>
  <si>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</si>
  <si>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</si>
  <si>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</si>
  <si>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</si>
  <si>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</si>
  <si>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</si>
  <si>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</si>
  <si>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</si>
  <si>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</si>
  <si>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</si>
  <si>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</si>
  <si>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</si>
  <si>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</si>
  <si>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</si>
  <si>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</si>
  <si>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</si>
  <si>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</si>
  <si>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</si>
  <si>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</si>
  <si>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</si>
  <si>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</si>
  <si>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</si>
  <si>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</si>
  <si>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</si>
  <si>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</si>
  <si>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</si>
  <si>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</si>
  <si>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</si>
  <si>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</si>
  <si>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</si>
  <si>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</si>
  <si>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</si>
  <si>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</si>
  <si>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</si>
  <si>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</si>
  <si>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</si>
  <si>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</si>
  <si>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</si>
  <si>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</si>
  <si>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</si>
  <si>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</si>
  <si>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</si>
  <si>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</si>
  <si>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</si>
  <si>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</si>
  <si>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</si>
  <si>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</si>
  <si>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</si>
  <si>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</si>
  <si>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</si>
  <si>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</si>
  <si>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</si>
  <si>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</si>
  <si>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</si>
  <si>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</si>
  <si>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</si>
  <si>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</si>
  <si>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</si>
  <si>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</si>
  <si>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</si>
  <si>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</si>
  <si>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</si>
  <si>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</si>
  <si>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</si>
  <si>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</si>
  <si>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</si>
  <si>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</si>
  <si>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</si>
  <si>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</si>
  <si>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</si>
  <si>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</si>
  <si>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</si>
  <si>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</si>
  <si>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</si>
  <si>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</si>
  <si>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</si>
  <si>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</si>
  <si>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</si>
  <si>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</si>
  <si>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</si>
  <si>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</si>
  <si>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</si>
  <si>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</si>
  <si>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</si>
  <si>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</si>
  <si>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</si>
  <si>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</si>
  <si>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</si>
  <si>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</si>
  <si>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</si>
  <si>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</si>
  <si>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</si>
  <si>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</si>
  <si>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</si>
  <si>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</si>
  <si>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</si>
  <si>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</si>
  <si>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</si>
  <si>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</si>
  <si>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</si>
  <si>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</si>
  <si>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</si>
  <si>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</si>
  <si>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</si>
  <si>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</si>
  <si>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</si>
  <si>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</si>
  <si>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</si>
  <si>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</si>
  <si>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</si>
  <si>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</si>
  <si>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</si>
  <si>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</si>
  <si>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</si>
  <si>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</si>
  <si>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</si>
  <si>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</si>
  <si>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</si>
  <si>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</si>
  <si>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</si>
  <si>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</si>
  <si>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</si>
  <si>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</si>
  <si>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</si>
  <si>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</si>
  <si>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</si>
  <si>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</si>
  <si>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</si>
  <si>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</si>
  <si>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</si>
  <si>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</si>
  <si>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</si>
  <si>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</si>
  <si>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</si>
  <si>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</si>
  <si>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</si>
  <si>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</si>
  <si>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</si>
  <si>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</si>
  <si>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</si>
  <si>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</si>
  <si>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</si>
  <si>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</si>
  <si>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</si>
  <si>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</si>
  <si>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</si>
  <si>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</si>
  <si>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</si>
  <si>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</si>
  <si>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</si>
  <si>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</si>
  <si>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</si>
  <si>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</si>
  <si>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</si>
  <si>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</si>
  <si>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</si>
  <si>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</si>
  <si>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</si>
  <si>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</si>
  <si>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</si>
  <si>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</si>
  <si>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</si>
  <si>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</si>
  <si>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</si>
  <si>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</si>
  <si>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</si>
  <si>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</si>
  <si>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</si>
  <si>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</si>
  <si>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</si>
  <si>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</si>
  <si>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</si>
  <si>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</si>
  <si>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</si>
  <si>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</si>
  <si>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</si>
  <si>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</si>
  <si>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</si>
  <si>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</si>
  <si>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</si>
  <si>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</si>
  <si>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</si>
  <si>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</si>
  <si>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</si>
  <si>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</si>
  <si>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</si>
  <si>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</si>
  <si>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</si>
  <si>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</si>
  <si>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</si>
  <si>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</si>
  <si>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</si>
  <si>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</si>
  <si>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</si>
  <si>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</si>
  <si>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</si>
  <si>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</si>
  <si>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</si>
  <si>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</si>
  <si>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</si>
  <si>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</si>
  <si>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</si>
  <si>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</si>
  <si>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</si>
  <si>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</si>
  <si>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</si>
  <si>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</si>
  <si>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</si>
  <si>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</si>
  <si>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</si>
  <si>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</si>
  <si>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</si>
  <si>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</si>
  <si>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</si>
  <si>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</si>
  <si>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</si>
  <si>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</si>
  <si>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</si>
  <si>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</si>
  <si>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</si>
  <si>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</si>
  <si>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</si>
  <si>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</si>
  <si>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</si>
  <si>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</si>
  <si>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</si>
  <si>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</si>
  <si>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</si>
  <si>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</si>
  <si>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</si>
  <si>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</si>
  <si>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</si>
  <si>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</si>
  <si>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</si>
  <si>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</si>
  <si>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</si>
  <si>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</si>
  <si>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</si>
  <si>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</si>
  <si>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</si>
  <si>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</si>
  <si>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</si>
  <si>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</si>
  <si>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</si>
  <si>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</si>
  <si>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</si>
  <si>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</si>
  <si>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</si>
  <si>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</si>
  <si>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</si>
  <si>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</si>
  <si>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</si>
  <si>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</si>
  <si>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</si>
  <si>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</si>
  <si>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</si>
  <si>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</si>
  <si>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</si>
  <si>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</si>
  <si>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</si>
  <si>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</si>
  <si>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</si>
  <si>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</si>
  <si>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</si>
  <si>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</si>
  <si>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</si>
  <si>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</si>
  <si>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</si>
  <si>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</si>
  <si>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</si>
  <si>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</si>
  <si>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</si>
  <si>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</si>
  <si>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</si>
  <si>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</si>
  <si>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</si>
  <si>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</si>
  <si>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</si>
  <si>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</si>
  <si>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</si>
  <si>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</si>
  <si>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</si>
  <si>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</si>
  <si>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</si>
  <si>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</si>
  <si>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</si>
  <si>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</si>
  <si>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</si>
  <si>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</si>
  <si>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</si>
  <si>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</si>
  <si>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</si>
  <si>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</si>
  <si>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</si>
  <si>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</si>
  <si>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</si>
  <si>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</si>
  <si>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</si>
  <si>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</si>
  <si>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</si>
  <si>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</si>
  <si>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</si>
  <si>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</si>
  <si>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</si>
  <si>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</si>
  <si>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</si>
  <si>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</si>
  <si>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</si>
  <si>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</si>
  <si>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</si>
  <si>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</si>
  <si>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</si>
  <si>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</si>
  <si>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</si>
  <si>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</si>
  <si>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</si>
  <si>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</si>
  <si>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</si>
  <si>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</si>
  <si>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</si>
  <si>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</si>
  <si>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</si>
  <si>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</si>
  <si>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</si>
  <si>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</si>
  <si>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</si>
  <si>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</si>
  <si>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</si>
  <si>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</si>
  <si>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</si>
  <si>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</si>
  <si>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</si>
  <si>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</si>
  <si>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</si>
  <si>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</si>
  <si>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</si>
  <si>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</si>
  <si>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</si>
  <si>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</si>
  <si>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</si>
  <si>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</si>
  <si>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</si>
  <si>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</si>
  <si>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</si>
  <si>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</si>
  <si>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</si>
  <si>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</si>
  <si>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</si>
  <si>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</si>
  <si>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</si>
  <si>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</si>
  <si>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</si>
  <si>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</si>
  <si>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</si>
  <si>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</si>
  <si>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</si>
  <si>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</si>
  <si>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</si>
  <si>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</si>
  <si>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</si>
  <si>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</si>
  <si>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</si>
  <si>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</si>
  <si>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</si>
  <si>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</si>
  <si>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</si>
  <si>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</si>
  <si>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</si>
  <si>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</si>
  <si>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</si>
  <si>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</si>
  <si>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</si>
  <si>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</si>
  <si>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</si>
  <si>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</si>
  <si>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</si>
  <si>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</si>
  <si>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</si>
  <si>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</si>
  <si>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</si>
  <si>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</si>
  <si>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</si>
  <si>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</si>
  <si>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</si>
  <si>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</si>
  <si>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</si>
  <si>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</si>
  <si>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</si>
  <si>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</si>
  <si>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</si>
  <si>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</si>
  <si>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</si>
  <si>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</si>
  <si>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</si>
  <si>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</si>
  <si>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</si>
  <si>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</si>
  <si>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</si>
  <si>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</si>
  <si>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</si>
  <si>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</si>
  <si>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</si>
  <si>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</si>
  <si>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</si>
  <si>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</si>
  <si>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</si>
  <si>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</si>
  <si>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</si>
  <si>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</si>
  <si>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</si>
  <si>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</si>
  <si>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</si>
  <si>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</si>
  <si>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</si>
  <si>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</si>
  <si>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</si>
  <si>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</si>
  <si>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</si>
  <si>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</si>
  <si>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</si>
  <si>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</si>
  <si>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</si>
  <si>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</si>
  <si>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</si>
  <si>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</si>
  <si>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</si>
  <si>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</si>
  <si>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</si>
  <si>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</si>
  <si>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</si>
  <si>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</si>
  <si>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</si>
  <si>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</si>
  <si>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</si>
  <si>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</si>
  <si>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</si>
  <si>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</si>
  <si>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</si>
  <si>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</si>
  <si>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</si>
  <si>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</si>
  <si>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</si>
  <si>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</si>
  <si>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</si>
  <si>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</si>
  <si>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</si>
  <si>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</si>
  <si>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</si>
  <si>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</si>
  <si>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</si>
  <si>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</si>
  <si>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</si>
  <si>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</si>
  <si>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</si>
  <si>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</si>
  <si>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</si>
  <si>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</si>
  <si>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</si>
  <si>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</si>
  <si>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</si>
  <si>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</si>
  <si>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</si>
  <si>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</si>
  <si>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</si>
  <si>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</si>
  <si>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</si>
  <si>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</si>
  <si>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Scholarship Trust Funds</t>
  </si>
  <si>
    <t>Portsmouth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</si>
</sst>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449</v>
      </c>
      <c r="C2" s="21">
        <v>449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/>
      <c r="J9" s="67">
        <f>SUM(I439)</f>
        <v>375.86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45768</v>
      </c>
      <c r="H12" s="18"/>
      <c r="I12" s="18"/>
      <c r="J12" s="67">
        <f>SUM(I441)</f>
        <v>5192422.04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25426.04</v>
      </c>
      <c r="H13" s="18">
        <v>624763.52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21686.66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92880.700000000012</v>
      </c>
      <c r="H19" s="41">
        <f>SUM(H9:H18)</f>
        <v>624763.52</v>
      </c>
      <c r="I19" s="41">
        <f>SUM(I9:I18)</f>
        <v>0</v>
      </c>
      <c r="J19" s="41">
        <f>SUM(J9:J18)</f>
        <v>5192797.9000000004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62276.17</v>
      </c>
      <c r="H22" s="18">
        <v>1677.68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2021.78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30363.19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92639.360000000001</v>
      </c>
      <c r="H32" s="41">
        <f>SUM(H22:H31)</f>
        <v>3699.46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5107473.09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85324.81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241.34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621064.06000000006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241.34</v>
      </c>
      <c r="H51" s="41">
        <f>SUM(H35:H50)</f>
        <v>621064.06000000006</v>
      </c>
      <c r="I51" s="41">
        <f>SUM(I35:I50)</f>
        <v>0</v>
      </c>
      <c r="J51" s="41">
        <f>SUM(J35:J50)</f>
        <v>5192797.8999999994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92880.7</v>
      </c>
      <c r="H52" s="41">
        <f>H51+H32</f>
        <v>624763.52</v>
      </c>
      <c r="I52" s="41">
        <f>I51+I32</f>
        <v>0</v>
      </c>
      <c r="J52" s="41">
        <f>J51+J32</f>
        <v>5192797.8999999994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22565157.780000001</v>
      </c>
      <c r="G57" s="18"/>
      <c r="H57" s="18">
        <v>241490.27</v>
      </c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22565157.780000001</v>
      </c>
      <c r="G60" s="41">
        <f>SUM(G57:G59)</f>
        <v>0</v>
      </c>
      <c r="H60" s="41">
        <f>SUM(H57:H59)</f>
        <v>241490.27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14753.48</v>
      </c>
      <c r="G63" s="24" t="s">
        <v>289</v>
      </c>
      <c r="H63" s="18">
        <v>66839.149999999994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7600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5468547.9000000004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>
        <v>425565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>
        <v>157172.19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5483301.3800000008</v>
      </c>
      <c r="G79" s="45" t="s">
        <v>289</v>
      </c>
      <c r="H79" s="41">
        <f>SUM(H63:H78)</f>
        <v>657176.34000000008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170036.43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429723.13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16973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15422.27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136446.81</v>
      </c>
      <c r="I102" s="18"/>
      <c r="J102" s="18">
        <v>5475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>
        <v>35654.589999999997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15422.27</v>
      </c>
      <c r="G111" s="41">
        <f>SUM(G96:G110)</f>
        <v>429723.13</v>
      </c>
      <c r="H111" s="41">
        <f>SUM(H96:H110)</f>
        <v>189074.4</v>
      </c>
      <c r="I111" s="41">
        <f>SUM(I96:I110)</f>
        <v>0</v>
      </c>
      <c r="J111" s="41">
        <f>SUM(J96:J110)</f>
        <v>175511.43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28063881.430000003</v>
      </c>
      <c r="G112" s="41">
        <f>G60+G111</f>
        <v>429723.13</v>
      </c>
      <c r="H112" s="41">
        <f>H60+H79+H94+H111</f>
        <v>1087741.01</v>
      </c>
      <c r="I112" s="41">
        <f>I60+I111</f>
        <v>0</v>
      </c>
      <c r="J112" s="41">
        <f>J60+J111</f>
        <v>175511.43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9744008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9744008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1770305.56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241490.27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8089.46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2011795.83</v>
      </c>
      <c r="G136" s="41">
        <f>SUM(G123:G135)</f>
        <v>8089.46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11755803.83</v>
      </c>
      <c r="G140" s="41">
        <f>G121+SUM(G136:G137)</f>
        <v>8089.46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>
        <v>12193.36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12193.36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559962.31999999995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266489.43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61289.66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332340.45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604619.89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>
        <v>756242.61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14615.12</v>
      </c>
      <c r="H161" s="18">
        <v>240751.95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346955.57</v>
      </c>
      <c r="H162" s="41">
        <f>SUM(H150:H161)</f>
        <v>2489355.8600000003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359148.93</v>
      </c>
      <c r="H169" s="41">
        <f>H147+H162+SUM(H163:H168)</f>
        <v>2489355.8600000003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45768</v>
      </c>
      <c r="H179" s="18">
        <v>635216</v>
      </c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45768</v>
      </c>
      <c r="H183" s="41">
        <f>SUM(H179:H182)</f>
        <v>635216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45768</v>
      </c>
      <c r="H192" s="41">
        <f>+H183+SUM(H188:H191)</f>
        <v>635216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39819685.260000005</v>
      </c>
      <c r="G193" s="47">
        <f>G112+G140+G169+G192</f>
        <v>842729.52</v>
      </c>
      <c r="H193" s="47">
        <f>H112+H140+H169+H192</f>
        <v>4212312.87</v>
      </c>
      <c r="I193" s="47">
        <f>I112+I140+I169+I192</f>
        <v>0</v>
      </c>
      <c r="J193" s="47">
        <f>J112+J140+J192</f>
        <v>175511.43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4835254</v>
      </c>
      <c r="G197" s="18">
        <v>2479978.83</v>
      </c>
      <c r="H197" s="18">
        <v>24388.54</v>
      </c>
      <c r="I197" s="18">
        <v>123777.11</v>
      </c>
      <c r="J197" s="18">
        <v>5696.03</v>
      </c>
      <c r="K197" s="18"/>
      <c r="L197" s="19">
        <f>SUM(F197:K197)</f>
        <v>7469094.5100000007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1141693.02</v>
      </c>
      <c r="G198" s="18">
        <v>558847.80000000005</v>
      </c>
      <c r="H198" s="18">
        <v>211028.01</v>
      </c>
      <c r="I198" s="18">
        <v>5325.3</v>
      </c>
      <c r="J198" s="18"/>
      <c r="K198" s="18">
        <v>190</v>
      </c>
      <c r="L198" s="19">
        <f>SUM(F198:K198)</f>
        <v>1917084.1300000001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42465.74</v>
      </c>
      <c r="G200" s="18">
        <v>18117.169999999998</v>
      </c>
      <c r="H200" s="18">
        <v>2093.61</v>
      </c>
      <c r="I200" s="18"/>
      <c r="J200" s="18"/>
      <c r="K200" s="18"/>
      <c r="L200" s="19">
        <f>SUM(F200:K200)</f>
        <v>62676.52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1532655.98</v>
      </c>
      <c r="G202" s="18">
        <v>793674.12</v>
      </c>
      <c r="H202" s="18">
        <v>28284.05</v>
      </c>
      <c r="I202" s="18">
        <v>43022.59</v>
      </c>
      <c r="J202" s="18"/>
      <c r="K202" s="18">
        <v>3156</v>
      </c>
      <c r="L202" s="19">
        <f t="shared" ref="L202:L208" si="0">SUM(F202:K202)</f>
        <v>2400792.7399999998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249816.17</v>
      </c>
      <c r="G203" s="18">
        <v>133039.46</v>
      </c>
      <c r="H203" s="18">
        <v>4029.61</v>
      </c>
      <c r="I203" s="18">
        <v>33293.519999999997</v>
      </c>
      <c r="J203" s="18">
        <v>32619.96</v>
      </c>
      <c r="K203" s="18"/>
      <c r="L203" s="19">
        <f t="shared" si="0"/>
        <v>452798.72000000003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171698.11</v>
      </c>
      <c r="G204" s="18">
        <v>95078.57</v>
      </c>
      <c r="H204" s="18">
        <v>48571.22</v>
      </c>
      <c r="I204" s="18">
        <v>2766.51</v>
      </c>
      <c r="J204" s="18">
        <v>359.24</v>
      </c>
      <c r="K204" s="18">
        <v>10036.52</v>
      </c>
      <c r="L204" s="19">
        <f t="shared" si="0"/>
        <v>328510.17000000004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522111.59</v>
      </c>
      <c r="G205" s="18">
        <v>271692.98</v>
      </c>
      <c r="H205" s="18">
        <v>1986.74</v>
      </c>
      <c r="I205" s="18">
        <v>1013.65</v>
      </c>
      <c r="J205" s="18"/>
      <c r="K205" s="18"/>
      <c r="L205" s="19">
        <f t="shared" si="0"/>
        <v>796804.96000000008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101393.7</v>
      </c>
      <c r="G206" s="18">
        <v>51376.15</v>
      </c>
      <c r="H206" s="18">
        <v>64579.21</v>
      </c>
      <c r="I206" s="18">
        <v>391.34</v>
      </c>
      <c r="J206" s="18"/>
      <c r="K206" s="18">
        <v>379.36</v>
      </c>
      <c r="L206" s="19">
        <f t="shared" si="0"/>
        <v>218119.75999999998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471348.03</v>
      </c>
      <c r="G207" s="18">
        <v>233575.94</v>
      </c>
      <c r="H207" s="18">
        <v>238402.15</v>
      </c>
      <c r="I207" s="18">
        <v>232917.33</v>
      </c>
      <c r="J207" s="18">
        <v>4388.43</v>
      </c>
      <c r="K207" s="18">
        <v>4612.88</v>
      </c>
      <c r="L207" s="19">
        <f t="shared" si="0"/>
        <v>1185244.7599999998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345325.91</v>
      </c>
      <c r="I208" s="18"/>
      <c r="J208" s="18"/>
      <c r="K208" s="18"/>
      <c r="L208" s="19">
        <f t="shared" si="0"/>
        <v>345325.91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173876</v>
      </c>
      <c r="G209" s="18">
        <v>89307.28</v>
      </c>
      <c r="H209" s="18">
        <v>15211.28</v>
      </c>
      <c r="I209" s="18">
        <v>21309.4</v>
      </c>
      <c r="J209" s="18"/>
      <c r="K209" s="18"/>
      <c r="L209" s="19">
        <f>SUM(F209:K209)</f>
        <v>299703.96000000008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9242312.3399999999</v>
      </c>
      <c r="G211" s="41">
        <f t="shared" si="1"/>
        <v>4724688.3000000007</v>
      </c>
      <c r="H211" s="41">
        <f t="shared" si="1"/>
        <v>983900.33000000007</v>
      </c>
      <c r="I211" s="41">
        <f t="shared" si="1"/>
        <v>463816.75</v>
      </c>
      <c r="J211" s="41">
        <f t="shared" si="1"/>
        <v>43063.659999999996</v>
      </c>
      <c r="K211" s="41">
        <f t="shared" si="1"/>
        <v>18374.760000000002</v>
      </c>
      <c r="L211" s="41">
        <f t="shared" si="1"/>
        <v>15476156.140000002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2303643.17</v>
      </c>
      <c r="G215" s="18">
        <v>1217624.27</v>
      </c>
      <c r="H215" s="18">
        <v>4621.12</v>
      </c>
      <c r="I215" s="18">
        <v>79074.81</v>
      </c>
      <c r="J215" s="18">
        <v>1200</v>
      </c>
      <c r="K215" s="18"/>
      <c r="L215" s="19">
        <f>SUM(F215:K215)</f>
        <v>3606163.37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653920.68000000005</v>
      </c>
      <c r="G216" s="18">
        <v>331095.06</v>
      </c>
      <c r="H216" s="18">
        <v>198381.27</v>
      </c>
      <c r="I216" s="18">
        <v>503.69</v>
      </c>
      <c r="J216" s="18"/>
      <c r="K216" s="18"/>
      <c r="L216" s="19">
        <f>SUM(F216:K216)</f>
        <v>1183900.7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347014.83</v>
      </c>
      <c r="G217" s="18">
        <v>187392.69</v>
      </c>
      <c r="H217" s="18">
        <v>3482.06</v>
      </c>
      <c r="I217" s="18"/>
      <c r="J217" s="18"/>
      <c r="K217" s="18"/>
      <c r="L217" s="19">
        <f>SUM(F217:K217)</f>
        <v>537889.58000000007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60008</v>
      </c>
      <c r="G218" s="18">
        <v>17825.599999999999</v>
      </c>
      <c r="H218" s="18">
        <v>10910</v>
      </c>
      <c r="I218" s="18">
        <v>10438.879999999999</v>
      </c>
      <c r="J218" s="18"/>
      <c r="K218" s="18"/>
      <c r="L218" s="19">
        <f>SUM(F218:K218)</f>
        <v>99182.48000000001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450042.09</v>
      </c>
      <c r="G220" s="18">
        <v>240755.18</v>
      </c>
      <c r="H220" s="18">
        <v>10959.1</v>
      </c>
      <c r="I220" s="18">
        <v>2642.11</v>
      </c>
      <c r="J220" s="18"/>
      <c r="K220" s="18"/>
      <c r="L220" s="19">
        <f t="shared" ref="L220:L226" si="2">SUM(F220:K220)</f>
        <v>704398.48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75530.289999999994</v>
      </c>
      <c r="G221" s="18">
        <v>30012.65</v>
      </c>
      <c r="H221" s="18">
        <v>2053.73</v>
      </c>
      <c r="I221" s="18">
        <v>14328.89</v>
      </c>
      <c r="J221" s="18">
        <v>18525.07</v>
      </c>
      <c r="K221" s="18"/>
      <c r="L221" s="19">
        <f t="shared" si="2"/>
        <v>140450.63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87073.64</v>
      </c>
      <c r="G222" s="18">
        <v>48327.8</v>
      </c>
      <c r="H222" s="18">
        <v>24721.360000000001</v>
      </c>
      <c r="I222" s="18">
        <v>1409.98</v>
      </c>
      <c r="J222" s="18">
        <v>183.09</v>
      </c>
      <c r="K222" s="18">
        <v>5285.21</v>
      </c>
      <c r="L222" s="19">
        <f t="shared" si="2"/>
        <v>167001.07999999999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282772.58</v>
      </c>
      <c r="G223" s="18">
        <v>147660.75</v>
      </c>
      <c r="H223" s="18">
        <v>1969.52</v>
      </c>
      <c r="I223" s="18">
        <v>2133.65</v>
      </c>
      <c r="J223" s="18"/>
      <c r="K223" s="18">
        <v>360</v>
      </c>
      <c r="L223" s="19">
        <f t="shared" si="2"/>
        <v>434896.50000000006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51676.27</v>
      </c>
      <c r="G224" s="18">
        <v>26184.34</v>
      </c>
      <c r="H224" s="18">
        <v>33264.050000000003</v>
      </c>
      <c r="I224" s="18">
        <v>199.45</v>
      </c>
      <c r="J224" s="18"/>
      <c r="K224" s="18">
        <v>193.35</v>
      </c>
      <c r="L224" s="19">
        <f t="shared" si="2"/>
        <v>111517.46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252346.82</v>
      </c>
      <c r="G225" s="18">
        <v>126731.59</v>
      </c>
      <c r="H225" s="18">
        <v>71037.88</v>
      </c>
      <c r="I225" s="18">
        <v>340773.05</v>
      </c>
      <c r="J225" s="18">
        <v>2236.61</v>
      </c>
      <c r="K225" s="18">
        <v>2351</v>
      </c>
      <c r="L225" s="19">
        <f t="shared" si="2"/>
        <v>795476.95000000007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219463.21</v>
      </c>
      <c r="I226" s="18"/>
      <c r="J226" s="18"/>
      <c r="K226" s="18"/>
      <c r="L226" s="19">
        <f t="shared" si="2"/>
        <v>219463.21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88617.57</v>
      </c>
      <c r="G227" s="18">
        <v>45516.31</v>
      </c>
      <c r="H227" s="18">
        <v>7752.57</v>
      </c>
      <c r="I227" s="18">
        <v>10860.55</v>
      </c>
      <c r="J227" s="18"/>
      <c r="K227" s="18"/>
      <c r="L227" s="19">
        <f>SUM(F227:K227)</f>
        <v>152747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4652645.9400000004</v>
      </c>
      <c r="G229" s="41">
        <f>SUM(G215:G228)</f>
        <v>2419126.2399999998</v>
      </c>
      <c r="H229" s="41">
        <f>SUM(H215:H228)</f>
        <v>588615.87</v>
      </c>
      <c r="I229" s="41">
        <f>SUM(I215:I228)</f>
        <v>462365.06</v>
      </c>
      <c r="J229" s="41">
        <f>SUM(J215:J228)</f>
        <v>22144.77</v>
      </c>
      <c r="K229" s="41">
        <f t="shared" si="3"/>
        <v>8189.56</v>
      </c>
      <c r="L229" s="41">
        <f t="shared" si="3"/>
        <v>8153087.4400000013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4614975.29</v>
      </c>
      <c r="G233" s="18">
        <v>2397282.69</v>
      </c>
      <c r="H233" s="18">
        <v>15315.26</v>
      </c>
      <c r="I233" s="18">
        <v>131038.27</v>
      </c>
      <c r="J233" s="18">
        <v>18827.46</v>
      </c>
      <c r="K233" s="18">
        <v>2431.79</v>
      </c>
      <c r="L233" s="19">
        <f>SUM(F233:K233)</f>
        <v>7179870.7599999998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578315.51</v>
      </c>
      <c r="G234" s="18">
        <v>301380.18</v>
      </c>
      <c r="H234" s="18">
        <v>597601.19999999995</v>
      </c>
      <c r="I234" s="18">
        <v>3048.73</v>
      </c>
      <c r="J234" s="18"/>
      <c r="K234" s="18"/>
      <c r="L234" s="19">
        <f>SUM(F234:K234)</f>
        <v>1480345.6199999999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366663.05</v>
      </c>
      <c r="G235" s="18">
        <v>197543.42</v>
      </c>
      <c r="H235" s="18">
        <v>8046.12</v>
      </c>
      <c r="I235" s="18">
        <v>24416.93</v>
      </c>
      <c r="J235" s="18">
        <v>9300</v>
      </c>
      <c r="K235" s="18"/>
      <c r="L235" s="19">
        <f>SUM(F235:K235)</f>
        <v>605969.52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238644.74</v>
      </c>
      <c r="G236" s="18">
        <v>60290.91</v>
      </c>
      <c r="H236" s="18">
        <v>88899.18</v>
      </c>
      <c r="I236" s="18">
        <v>67425</v>
      </c>
      <c r="J236" s="18"/>
      <c r="K236" s="18"/>
      <c r="L236" s="19">
        <f>SUM(F236:K236)</f>
        <v>455259.83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917889.87</v>
      </c>
      <c r="G238" s="18">
        <v>479456.61</v>
      </c>
      <c r="H238" s="18">
        <v>34234.82</v>
      </c>
      <c r="I238" s="18">
        <v>8782.7099999999991</v>
      </c>
      <c r="J238" s="18"/>
      <c r="K238" s="18">
        <v>15111.49</v>
      </c>
      <c r="L238" s="19">
        <f t="shared" ref="L238:L244" si="4">SUM(F238:K238)</f>
        <v>1455475.5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44816.07</v>
      </c>
      <c r="G239" s="18">
        <v>24237.55</v>
      </c>
      <c r="H239" s="18">
        <v>7591.76</v>
      </c>
      <c r="I239" s="18">
        <v>19218.490000000002</v>
      </c>
      <c r="J239" s="18">
        <v>35299.42</v>
      </c>
      <c r="K239" s="18">
        <v>260</v>
      </c>
      <c r="L239" s="19">
        <f t="shared" si="4"/>
        <v>131423.28999999998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385119.82</v>
      </c>
      <c r="G240" s="18">
        <v>206714.47</v>
      </c>
      <c r="H240" s="18">
        <v>56895.519999999997</v>
      </c>
      <c r="I240" s="18">
        <v>2809.85</v>
      </c>
      <c r="J240" s="18">
        <v>364.86</v>
      </c>
      <c r="K240" s="18">
        <v>24967.27</v>
      </c>
      <c r="L240" s="19">
        <f t="shared" si="4"/>
        <v>676871.79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505403.27</v>
      </c>
      <c r="G241" s="18">
        <v>264950.48</v>
      </c>
      <c r="H241" s="18">
        <v>58822.53</v>
      </c>
      <c r="I241" s="18">
        <v>2102.56</v>
      </c>
      <c r="J241" s="18"/>
      <c r="K241" s="18">
        <v>3670</v>
      </c>
      <c r="L241" s="19">
        <f t="shared" si="4"/>
        <v>834948.84000000008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102889.73</v>
      </c>
      <c r="G242" s="18">
        <v>52427.29</v>
      </c>
      <c r="H242" s="18">
        <v>69965.95</v>
      </c>
      <c r="I242" s="18">
        <v>397.47</v>
      </c>
      <c r="J242" s="18"/>
      <c r="K242" s="18">
        <v>385.31</v>
      </c>
      <c r="L242" s="19">
        <f t="shared" si="4"/>
        <v>226065.74999999997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544752.26</v>
      </c>
      <c r="G243" s="18">
        <v>275124.44</v>
      </c>
      <c r="H243" s="18">
        <v>380701.5</v>
      </c>
      <c r="I243" s="18">
        <v>528455.56000000006</v>
      </c>
      <c r="J243" s="18">
        <v>4457.18</v>
      </c>
      <c r="K243" s="18">
        <v>4685.1499999999996</v>
      </c>
      <c r="L243" s="19">
        <f t="shared" si="4"/>
        <v>1738176.0899999999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420471.42</v>
      </c>
      <c r="I244" s="18"/>
      <c r="J244" s="18"/>
      <c r="K244" s="18"/>
      <c r="L244" s="19">
        <f t="shared" si="4"/>
        <v>420471.42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176600.12</v>
      </c>
      <c r="G245" s="18">
        <v>90706.46</v>
      </c>
      <c r="H245" s="18">
        <v>15449.6</v>
      </c>
      <c r="I245" s="18">
        <v>21823.09</v>
      </c>
      <c r="J245" s="18"/>
      <c r="K245" s="18"/>
      <c r="L245" s="19">
        <f>SUM(F245:K245)</f>
        <v>304579.27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8476069.7300000004</v>
      </c>
      <c r="G247" s="41">
        <f t="shared" si="5"/>
        <v>4350114.5</v>
      </c>
      <c r="H247" s="41">
        <f t="shared" si="5"/>
        <v>1753994.8599999999</v>
      </c>
      <c r="I247" s="41">
        <f t="shared" si="5"/>
        <v>809518.66</v>
      </c>
      <c r="J247" s="41">
        <f t="shared" si="5"/>
        <v>68248.92</v>
      </c>
      <c r="K247" s="41">
        <f t="shared" si="5"/>
        <v>51511.01</v>
      </c>
      <c r="L247" s="41">
        <f t="shared" si="5"/>
        <v>15509457.679999998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22371028.010000002</v>
      </c>
      <c r="G257" s="41">
        <f t="shared" si="8"/>
        <v>11493929.040000001</v>
      </c>
      <c r="H257" s="41">
        <f t="shared" si="8"/>
        <v>3326511.06</v>
      </c>
      <c r="I257" s="41">
        <f t="shared" si="8"/>
        <v>1735700.4700000002</v>
      </c>
      <c r="J257" s="41">
        <f t="shared" si="8"/>
        <v>133457.34999999998</v>
      </c>
      <c r="K257" s="41">
        <f t="shared" si="8"/>
        <v>78075.33</v>
      </c>
      <c r="L257" s="41">
        <f t="shared" si="8"/>
        <v>39138701.260000005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45768</v>
      </c>
      <c r="L263" s="19">
        <f>SUM(F263:K263)</f>
        <v>45768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635216</v>
      </c>
      <c r="L264" s="19">
        <f t="shared" ref="L264:L270" si="9">SUM(F264:K264)</f>
        <v>635216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680984</v>
      </c>
      <c r="L270" s="41">
        <f t="shared" si="9"/>
        <v>680984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22371028.010000002</v>
      </c>
      <c r="G271" s="42">
        <f t="shared" si="11"/>
        <v>11493929.040000001</v>
      </c>
      <c r="H271" s="42">
        <f t="shared" si="11"/>
        <v>3326511.06</v>
      </c>
      <c r="I271" s="42">
        <f t="shared" si="11"/>
        <v>1735700.4700000002</v>
      </c>
      <c r="J271" s="42">
        <f t="shared" si="11"/>
        <v>133457.34999999998</v>
      </c>
      <c r="K271" s="42">
        <f t="shared" si="11"/>
        <v>759059.33</v>
      </c>
      <c r="L271" s="42">
        <f t="shared" si="11"/>
        <v>39819685.260000005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148224.57</v>
      </c>
      <c r="G276" s="18">
        <v>11584.02</v>
      </c>
      <c r="H276" s="18"/>
      <c r="I276" s="18"/>
      <c r="J276" s="18">
        <v>2050</v>
      </c>
      <c r="K276" s="18"/>
      <c r="L276" s="19">
        <f>SUM(F276:K276)</f>
        <v>161858.59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789037.34</v>
      </c>
      <c r="G277" s="18">
        <v>112891.58</v>
      </c>
      <c r="H277" s="18">
        <v>22742.82</v>
      </c>
      <c r="I277" s="18">
        <v>9901.2900000000009</v>
      </c>
      <c r="J277" s="18"/>
      <c r="K277" s="18">
        <v>198.16</v>
      </c>
      <c r="L277" s="19">
        <f>SUM(F277:K277)</f>
        <v>934771.19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2420.88</v>
      </c>
      <c r="G279" s="18">
        <v>528.25</v>
      </c>
      <c r="H279" s="18">
        <v>6883.12</v>
      </c>
      <c r="I279" s="18">
        <v>1631.72</v>
      </c>
      <c r="J279" s="18"/>
      <c r="K279" s="18">
        <v>186.5</v>
      </c>
      <c r="L279" s="19">
        <f>SUM(F279:K279)</f>
        <v>11650.47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1748.3</v>
      </c>
      <c r="G281" s="18">
        <v>233.56</v>
      </c>
      <c r="H281" s="18">
        <v>45058.34</v>
      </c>
      <c r="I281" s="18">
        <v>1803.45</v>
      </c>
      <c r="J281" s="18">
        <v>12348</v>
      </c>
      <c r="K281" s="18">
        <v>294.95</v>
      </c>
      <c r="L281" s="19">
        <f t="shared" ref="L281:L287" si="12">SUM(F281:K281)</f>
        <v>61486.599999999991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4042.12</v>
      </c>
      <c r="G282" s="18">
        <v>335</v>
      </c>
      <c r="H282" s="18">
        <v>78179.5</v>
      </c>
      <c r="I282" s="18">
        <v>10366.17</v>
      </c>
      <c r="J282" s="18">
        <v>1525</v>
      </c>
      <c r="K282" s="18"/>
      <c r="L282" s="19">
        <f t="shared" si="12"/>
        <v>94447.79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66859.100000000006</v>
      </c>
      <c r="G283" s="18">
        <v>14013.06</v>
      </c>
      <c r="H283" s="18">
        <v>439.08</v>
      </c>
      <c r="I283" s="18"/>
      <c r="J283" s="18"/>
      <c r="K283" s="18"/>
      <c r="L283" s="19">
        <f t="shared" si="12"/>
        <v>81311.240000000005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780</v>
      </c>
      <c r="I286" s="18">
        <v>25977</v>
      </c>
      <c r="J286" s="18"/>
      <c r="K286" s="18"/>
      <c r="L286" s="19">
        <f t="shared" si="12"/>
        <v>26757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6229.99</v>
      </c>
      <c r="I287" s="18"/>
      <c r="J287" s="18"/>
      <c r="K287" s="18"/>
      <c r="L287" s="19">
        <f t="shared" si="12"/>
        <v>6229.99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1012332.3099999999</v>
      </c>
      <c r="G290" s="42">
        <f t="shared" si="13"/>
        <v>139585.47</v>
      </c>
      <c r="H290" s="42">
        <f t="shared" si="13"/>
        <v>160312.84999999998</v>
      </c>
      <c r="I290" s="42">
        <f t="shared" si="13"/>
        <v>49679.630000000005</v>
      </c>
      <c r="J290" s="42">
        <f t="shared" si="13"/>
        <v>15923</v>
      </c>
      <c r="K290" s="42">
        <f t="shared" si="13"/>
        <v>679.6099999999999</v>
      </c>
      <c r="L290" s="41">
        <f t="shared" si="13"/>
        <v>1378512.87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1057.3</v>
      </c>
      <c r="J295" s="18"/>
      <c r="K295" s="18"/>
      <c r="L295" s="19">
        <f>SUM(F295:K295)</f>
        <v>1057.3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556428</v>
      </c>
      <c r="G296" s="18">
        <v>90264.08</v>
      </c>
      <c r="H296" s="18">
        <v>14813.86</v>
      </c>
      <c r="I296" s="18">
        <v>1008.19</v>
      </c>
      <c r="J296" s="18"/>
      <c r="K296" s="18">
        <v>125.33</v>
      </c>
      <c r="L296" s="19">
        <f>SUM(F296:K296)</f>
        <v>662639.45999999985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>
        <v>881.28</v>
      </c>
      <c r="I298" s="18">
        <v>1222.18</v>
      </c>
      <c r="J298" s="18"/>
      <c r="K298" s="18"/>
      <c r="L298" s="19">
        <f>SUM(F298:K298)</f>
        <v>2103.46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1900</v>
      </c>
      <c r="G300" s="18">
        <v>410.18</v>
      </c>
      <c r="H300" s="18">
        <v>13735.96</v>
      </c>
      <c r="I300" s="18">
        <v>1059.9000000000001</v>
      </c>
      <c r="J300" s="18"/>
      <c r="K300" s="18"/>
      <c r="L300" s="19">
        <f t="shared" ref="L300:L306" si="14">SUM(F300:K300)</f>
        <v>17106.04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9248.31</v>
      </c>
      <c r="G302" s="18">
        <v>1705.2</v>
      </c>
      <c r="H302" s="18"/>
      <c r="I302" s="18"/>
      <c r="J302" s="18"/>
      <c r="K302" s="18"/>
      <c r="L302" s="19">
        <f t="shared" si="14"/>
        <v>10953.51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400</v>
      </c>
      <c r="I305" s="18"/>
      <c r="J305" s="18">
        <v>2180</v>
      </c>
      <c r="K305" s="18"/>
      <c r="L305" s="19">
        <f t="shared" si="14"/>
        <v>2580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567576.31000000006</v>
      </c>
      <c r="G309" s="42">
        <f t="shared" si="15"/>
        <v>92379.459999999992</v>
      </c>
      <c r="H309" s="42">
        <f t="shared" si="15"/>
        <v>29831.1</v>
      </c>
      <c r="I309" s="42">
        <f t="shared" si="15"/>
        <v>4347.57</v>
      </c>
      <c r="J309" s="42">
        <f t="shared" si="15"/>
        <v>2180</v>
      </c>
      <c r="K309" s="42">
        <f t="shared" si="15"/>
        <v>125.33</v>
      </c>
      <c r="L309" s="41">
        <f t="shared" si="15"/>
        <v>696439.7699999999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1057.29</v>
      </c>
      <c r="J314" s="18"/>
      <c r="K314" s="18"/>
      <c r="L314" s="19">
        <f>SUM(F314:K314)</f>
        <v>1057.29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1174130.8500000001</v>
      </c>
      <c r="G315" s="18">
        <v>226225.61</v>
      </c>
      <c r="H315" s="18">
        <v>69995.06</v>
      </c>
      <c r="I315" s="18">
        <v>19384.77</v>
      </c>
      <c r="J315" s="18"/>
      <c r="K315" s="18">
        <v>200.47</v>
      </c>
      <c r="L315" s="19">
        <f>SUM(F315:K315)</f>
        <v>1489936.76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22253</v>
      </c>
      <c r="G316" s="18">
        <v>3962.86</v>
      </c>
      <c r="H316" s="18">
        <v>6969.48</v>
      </c>
      <c r="I316" s="18">
        <v>6636.59</v>
      </c>
      <c r="J316" s="18"/>
      <c r="K316" s="18"/>
      <c r="L316" s="19">
        <f>SUM(F316:K316)</f>
        <v>39821.929999999993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8813.0400000000009</v>
      </c>
      <c r="G317" s="18">
        <v>1434.87</v>
      </c>
      <c r="H317" s="18">
        <v>110474.18</v>
      </c>
      <c r="I317" s="18">
        <v>3808.31</v>
      </c>
      <c r="J317" s="18"/>
      <c r="K317" s="18"/>
      <c r="L317" s="19">
        <f>SUM(F317:K317)</f>
        <v>124530.4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27169.22</v>
      </c>
      <c r="G319" s="18">
        <v>1582.75</v>
      </c>
      <c r="H319" s="18">
        <v>27373.49</v>
      </c>
      <c r="I319" s="18"/>
      <c r="J319" s="18"/>
      <c r="K319" s="18"/>
      <c r="L319" s="19">
        <f t="shared" ref="L319:L325" si="16">SUM(F319:K319)</f>
        <v>56125.460000000006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>
        <v>1872.57</v>
      </c>
      <c r="L320" s="19">
        <f t="shared" si="16"/>
        <v>1872.57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99670.45</v>
      </c>
      <c r="G321" s="18">
        <v>17917.38</v>
      </c>
      <c r="H321" s="18"/>
      <c r="I321" s="18"/>
      <c r="J321" s="18"/>
      <c r="K321" s="18"/>
      <c r="L321" s="19">
        <f t="shared" si="16"/>
        <v>117587.83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89432.92</v>
      </c>
      <c r="G322" s="18">
        <v>19413.14</v>
      </c>
      <c r="H322" s="18"/>
      <c r="I322" s="18"/>
      <c r="J322" s="18"/>
      <c r="K322" s="18"/>
      <c r="L322" s="19">
        <f t="shared" si="16"/>
        <v>108846.06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>
        <v>1049.83</v>
      </c>
      <c r="I323" s="18"/>
      <c r="J323" s="18"/>
      <c r="K323" s="18"/>
      <c r="L323" s="19">
        <f t="shared" si="16"/>
        <v>1049.83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18655.14</v>
      </c>
      <c r="G324" s="18">
        <v>3255.7</v>
      </c>
      <c r="H324" s="18">
        <v>4063.98</v>
      </c>
      <c r="I324" s="18">
        <v>48771.81</v>
      </c>
      <c r="J324" s="18">
        <v>35734.22</v>
      </c>
      <c r="K324" s="18"/>
      <c r="L324" s="19">
        <f t="shared" si="16"/>
        <v>110480.85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14746.11</v>
      </c>
      <c r="I325" s="18"/>
      <c r="J325" s="18"/>
      <c r="K325" s="18"/>
      <c r="L325" s="19">
        <f t="shared" si="16"/>
        <v>14746.11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1440124.6199999999</v>
      </c>
      <c r="G328" s="42">
        <f t="shared" si="17"/>
        <v>273792.31</v>
      </c>
      <c r="H328" s="42">
        <f t="shared" si="17"/>
        <v>234672.12999999995</v>
      </c>
      <c r="I328" s="42">
        <f t="shared" si="17"/>
        <v>79658.77</v>
      </c>
      <c r="J328" s="42">
        <f t="shared" si="17"/>
        <v>35734.22</v>
      </c>
      <c r="K328" s="42">
        <f t="shared" si="17"/>
        <v>2073.04</v>
      </c>
      <c r="L328" s="41">
        <f t="shared" si="17"/>
        <v>2066055.0900000003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3020033.24</v>
      </c>
      <c r="G338" s="41">
        <f t="shared" si="20"/>
        <v>505757.24</v>
      </c>
      <c r="H338" s="41">
        <f t="shared" si="20"/>
        <v>424816.07999999996</v>
      </c>
      <c r="I338" s="41">
        <f t="shared" si="20"/>
        <v>133685.97</v>
      </c>
      <c r="J338" s="41">
        <f t="shared" si="20"/>
        <v>53837.22</v>
      </c>
      <c r="K338" s="41">
        <f t="shared" si="20"/>
        <v>2877.98</v>
      </c>
      <c r="L338" s="41">
        <f t="shared" si="20"/>
        <v>4141007.7300000004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3020033.24</v>
      </c>
      <c r="G352" s="41">
        <f>G338</f>
        <v>505757.24</v>
      </c>
      <c r="H352" s="41">
        <f>H338</f>
        <v>424816.07999999996</v>
      </c>
      <c r="I352" s="41">
        <f>I338</f>
        <v>133685.97</v>
      </c>
      <c r="J352" s="41">
        <f>J338</f>
        <v>53837.22</v>
      </c>
      <c r="K352" s="47">
        <f>K338+K351</f>
        <v>2877.98</v>
      </c>
      <c r="L352" s="41">
        <f>L338+L351</f>
        <v>4141007.7300000004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136601.47</v>
      </c>
      <c r="G358" s="18">
        <v>20679.52</v>
      </c>
      <c r="H358" s="18">
        <v>10790.99</v>
      </c>
      <c r="I358" s="18">
        <v>127940.36</v>
      </c>
      <c r="J358" s="18"/>
      <c r="K358" s="18">
        <v>208.24</v>
      </c>
      <c r="L358" s="13">
        <f>SUM(F358:K358)</f>
        <v>296220.57999999996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102434.17</v>
      </c>
      <c r="G359" s="18">
        <v>12684.57</v>
      </c>
      <c r="H359" s="18">
        <v>6469.69</v>
      </c>
      <c r="I359" s="18">
        <v>67187.520000000004</v>
      </c>
      <c r="J359" s="18"/>
      <c r="K359" s="18">
        <v>109.35</v>
      </c>
      <c r="L359" s="19">
        <f>SUM(F359:K359)</f>
        <v>188885.30000000002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145704.15</v>
      </c>
      <c r="G360" s="18">
        <v>18603.439999999999</v>
      </c>
      <c r="H360" s="18">
        <v>14382.17</v>
      </c>
      <c r="I360" s="18">
        <v>178428.55</v>
      </c>
      <c r="J360" s="18"/>
      <c r="K360" s="18">
        <v>290.43</v>
      </c>
      <c r="L360" s="19">
        <f>SUM(F360:K360)</f>
        <v>357408.74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384739.79000000004</v>
      </c>
      <c r="G362" s="47">
        <f t="shared" si="22"/>
        <v>51967.53</v>
      </c>
      <c r="H362" s="47">
        <f t="shared" si="22"/>
        <v>31642.85</v>
      </c>
      <c r="I362" s="47">
        <f t="shared" si="22"/>
        <v>373556.43</v>
      </c>
      <c r="J362" s="47">
        <f t="shared" si="22"/>
        <v>0</v>
      </c>
      <c r="K362" s="47">
        <f t="shared" si="22"/>
        <v>608.02</v>
      </c>
      <c r="L362" s="47">
        <f t="shared" si="22"/>
        <v>842514.62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116781.14</v>
      </c>
      <c r="G367" s="18">
        <v>61320.94</v>
      </c>
      <c r="H367" s="18">
        <v>162870.92000000001</v>
      </c>
      <c r="I367" s="56">
        <f>SUM(F367:H367)</f>
        <v>340973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11159.22</v>
      </c>
      <c r="G368" s="63">
        <v>5866.58</v>
      </c>
      <c r="H368" s="63">
        <v>15557.63</v>
      </c>
      <c r="I368" s="56">
        <f>SUM(F368:H368)</f>
        <v>32583.43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127940.36</v>
      </c>
      <c r="G369" s="47">
        <f>SUM(G367:G368)</f>
        <v>67187.520000000004</v>
      </c>
      <c r="H369" s="47">
        <f>SUM(H367:H368)</f>
        <v>178428.55000000002</v>
      </c>
      <c r="I369" s="47">
        <f>SUM(I367:I368)</f>
        <v>373556.43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 t="s">
        <v>911</v>
      </c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>
        <v>170036.43</v>
      </c>
      <c r="I405" s="18">
        <v>5475</v>
      </c>
      <c r="J405" s="24" t="s">
        <v>289</v>
      </c>
      <c r="K405" s="24" t="s">
        <v>289</v>
      </c>
      <c r="L405" s="56">
        <f>SUM(F405:K405)</f>
        <v>175511.43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170036.43</v>
      </c>
      <c r="I407" s="47">
        <f>SUM(I403:I406)</f>
        <v>5475</v>
      </c>
      <c r="J407" s="49" t="s">
        <v>289</v>
      </c>
      <c r="K407" s="49" t="s">
        <v>289</v>
      </c>
      <c r="L407" s="47">
        <f>SUM(L403:L406)</f>
        <v>175511.43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170036.43</v>
      </c>
      <c r="I408" s="47">
        <f>I393+I401+I407</f>
        <v>5475</v>
      </c>
      <c r="J408" s="24" t="s">
        <v>289</v>
      </c>
      <c r="K408" s="24" t="s">
        <v>289</v>
      </c>
      <c r="L408" s="47">
        <f>L393+L401+L407</f>
        <v>175511.43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 t="s">
        <v>911</v>
      </c>
      <c r="B430" s="6">
        <v>17</v>
      </c>
      <c r="C430" s="6">
        <v>16</v>
      </c>
      <c r="D430" s="2" t="s">
        <v>433</v>
      </c>
      <c r="E430" s="6"/>
      <c r="F430" s="18"/>
      <c r="G430" s="18"/>
      <c r="H430" s="18">
        <v>109325</v>
      </c>
      <c r="I430" s="18"/>
      <c r="J430" s="18"/>
      <c r="K430" s="18">
        <v>16634.39</v>
      </c>
      <c r="L430" s="56">
        <f>SUM(F430:K430)</f>
        <v>125959.39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109325</v>
      </c>
      <c r="I433" s="47">
        <f t="shared" si="31"/>
        <v>0</v>
      </c>
      <c r="J433" s="47">
        <f t="shared" si="31"/>
        <v>0</v>
      </c>
      <c r="K433" s="47">
        <f t="shared" si="31"/>
        <v>16634.39</v>
      </c>
      <c r="L433" s="47">
        <f t="shared" si="31"/>
        <v>125959.39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109325</v>
      </c>
      <c r="I434" s="47">
        <f t="shared" si="32"/>
        <v>0</v>
      </c>
      <c r="J434" s="47">
        <f t="shared" si="32"/>
        <v>0</v>
      </c>
      <c r="K434" s="47">
        <f t="shared" si="32"/>
        <v>16634.39</v>
      </c>
      <c r="L434" s="47">
        <f t="shared" si="32"/>
        <v>125959.39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v>375.86</v>
      </c>
      <c r="I439" s="56">
        <f t="shared" ref="I439:I445" si="33">SUM(F439:H439)</f>
        <v>375.86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>
        <v>5192422.04</v>
      </c>
      <c r="I441" s="56">
        <f t="shared" si="33"/>
        <v>5192422.04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5192797.9000000004</v>
      </c>
      <c r="I446" s="13">
        <f>SUM(I439:I445)</f>
        <v>5192797.9000000004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v>5107473.09</v>
      </c>
      <c r="I457" s="56">
        <f t="shared" si="34"/>
        <v>5107473.09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v>85324.81</v>
      </c>
      <c r="I458" s="56">
        <f t="shared" si="34"/>
        <v>85324.81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5192797.8999999994</v>
      </c>
      <c r="I460" s="83">
        <f>SUM(I454:I459)</f>
        <v>5192797.8999999994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5192797.8999999994</v>
      </c>
      <c r="I461" s="42">
        <f>I452+I460</f>
        <v>5192797.8999999994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/>
      <c r="G465" s="18">
        <v>26.44</v>
      </c>
      <c r="H465" s="18">
        <v>549758.92000000004</v>
      </c>
      <c r="I465" s="18"/>
      <c r="J465" s="18">
        <v>5143245.8600000003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39819685.259999998</v>
      </c>
      <c r="G468" s="18">
        <v>842729.52</v>
      </c>
      <c r="H468" s="18">
        <v>4212312.87</v>
      </c>
      <c r="I468" s="18"/>
      <c r="J468" s="18">
        <v>175511.43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39819685.259999998</v>
      </c>
      <c r="G470" s="53">
        <f>SUM(G468:G469)</f>
        <v>842729.52</v>
      </c>
      <c r="H470" s="53">
        <f>SUM(H468:H469)</f>
        <v>4212312.87</v>
      </c>
      <c r="I470" s="53">
        <f>SUM(I468:I469)</f>
        <v>0</v>
      </c>
      <c r="J470" s="53">
        <f>SUM(J468:J469)</f>
        <v>175511.43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39819685.259999998</v>
      </c>
      <c r="G472" s="18">
        <v>842514.62</v>
      </c>
      <c r="H472" s="18">
        <v>4141007.73</v>
      </c>
      <c r="I472" s="18"/>
      <c r="J472" s="18">
        <v>125959.39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39819685.259999998</v>
      </c>
      <c r="G474" s="53">
        <f>SUM(G472:G473)</f>
        <v>842514.62</v>
      </c>
      <c r="H474" s="53">
        <f>SUM(H472:H473)</f>
        <v>4141007.73</v>
      </c>
      <c r="I474" s="53">
        <f>SUM(I472:I473)</f>
        <v>0</v>
      </c>
      <c r="J474" s="53">
        <f>SUM(J472:J473)</f>
        <v>125959.39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241.3399999999674</v>
      </c>
      <c r="H476" s="53">
        <f>(H465+H470)- H474</f>
        <v>621064.06000000006</v>
      </c>
      <c r="I476" s="53">
        <f>(I465+I470)- I474</f>
        <v>0</v>
      </c>
      <c r="J476" s="53">
        <f>(J465+J470)- J474</f>
        <v>5192797.9000000004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1626152.74</v>
      </c>
      <c r="G521" s="18">
        <v>622273.42000000004</v>
      </c>
      <c r="H521" s="18">
        <v>243566.44</v>
      </c>
      <c r="I521" s="18">
        <v>6357.24</v>
      </c>
      <c r="J521" s="18"/>
      <c r="K521" s="18">
        <v>148.5</v>
      </c>
      <c r="L521" s="88">
        <f>SUM(F521:K521)</f>
        <v>2498498.3400000003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1137584.1599999999</v>
      </c>
      <c r="G522" s="18">
        <v>408316.97</v>
      </c>
      <c r="H522" s="18">
        <v>241742.74</v>
      </c>
      <c r="I522" s="18">
        <v>849.59</v>
      </c>
      <c r="J522" s="18"/>
      <c r="K522" s="18">
        <v>75.680000000000007</v>
      </c>
      <c r="L522" s="88">
        <f>SUM(F522:K522)</f>
        <v>1788569.14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1673248.78</v>
      </c>
      <c r="G523" s="18">
        <v>504415.58</v>
      </c>
      <c r="H523" s="18">
        <v>686197.8</v>
      </c>
      <c r="I523" s="18">
        <v>21048.06</v>
      </c>
      <c r="J523" s="18">
        <v>549.01</v>
      </c>
      <c r="K523" s="18">
        <v>150.82</v>
      </c>
      <c r="L523" s="88">
        <f>SUM(F523:K523)</f>
        <v>2885610.05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4436985.68</v>
      </c>
      <c r="G524" s="108">
        <f t="shared" ref="G524:L524" si="36">SUM(G521:G523)</f>
        <v>1535005.97</v>
      </c>
      <c r="H524" s="108">
        <f t="shared" si="36"/>
        <v>1171506.98</v>
      </c>
      <c r="I524" s="108">
        <f t="shared" si="36"/>
        <v>28254.89</v>
      </c>
      <c r="J524" s="108">
        <f t="shared" si="36"/>
        <v>549.01</v>
      </c>
      <c r="K524" s="108">
        <f t="shared" si="36"/>
        <v>375</v>
      </c>
      <c r="L524" s="89">
        <f t="shared" si="36"/>
        <v>7172677.5300000003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595966.46</v>
      </c>
      <c r="G526" s="18">
        <v>297957.42</v>
      </c>
      <c r="H526" s="18">
        <v>41751.160000000003</v>
      </c>
      <c r="I526" s="18">
        <v>4361.37</v>
      </c>
      <c r="J526" s="18"/>
      <c r="K526" s="18"/>
      <c r="L526" s="88">
        <f>SUM(F526:K526)</f>
        <v>940036.40999999992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116017.53</v>
      </c>
      <c r="G527" s="18">
        <v>62390.31</v>
      </c>
      <c r="H527" s="18">
        <v>17767.66</v>
      </c>
      <c r="I527" s="18">
        <v>818.65</v>
      </c>
      <c r="J527" s="18"/>
      <c r="K527" s="18"/>
      <c r="L527" s="88">
        <f>SUM(F527:K527)</f>
        <v>196994.15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479629.91</v>
      </c>
      <c r="G528" s="18">
        <v>61864.45</v>
      </c>
      <c r="H528" s="18">
        <v>34931.480000000003</v>
      </c>
      <c r="I528" s="18">
        <v>2159.06</v>
      </c>
      <c r="J528" s="18"/>
      <c r="K528" s="18"/>
      <c r="L528" s="88">
        <f>SUM(F528:K528)</f>
        <v>578584.9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1191613.8999999999</v>
      </c>
      <c r="G529" s="89">
        <f t="shared" ref="G529:L529" si="37">SUM(G526:G528)</f>
        <v>422212.18</v>
      </c>
      <c r="H529" s="89">
        <f t="shared" si="37"/>
        <v>94450.300000000017</v>
      </c>
      <c r="I529" s="89">
        <f t="shared" si="37"/>
        <v>7339.08</v>
      </c>
      <c r="J529" s="89">
        <f t="shared" si="37"/>
        <v>0</v>
      </c>
      <c r="K529" s="89">
        <f t="shared" si="37"/>
        <v>0</v>
      </c>
      <c r="L529" s="89">
        <f t="shared" si="37"/>
        <v>1715615.46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22228.11</v>
      </c>
      <c r="G531" s="18">
        <v>5299.69</v>
      </c>
      <c r="H531" s="18">
        <v>65.599999999999994</v>
      </c>
      <c r="I531" s="18"/>
      <c r="J531" s="18"/>
      <c r="K531" s="18"/>
      <c r="L531" s="88">
        <f>SUM(F531:K531)</f>
        <v>27593.399999999998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10722.9</v>
      </c>
      <c r="G532" s="18">
        <v>2506.31</v>
      </c>
      <c r="H532" s="18"/>
      <c r="I532" s="18"/>
      <c r="J532" s="18"/>
      <c r="K532" s="18"/>
      <c r="L532" s="88">
        <f>SUM(F532:K532)</f>
        <v>13229.21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180910.64</v>
      </c>
      <c r="G533" s="18">
        <v>58230.69</v>
      </c>
      <c r="H533" s="18"/>
      <c r="I533" s="18"/>
      <c r="J533" s="18"/>
      <c r="K533" s="18"/>
      <c r="L533" s="88">
        <f>SUM(F533:K533)</f>
        <v>239141.33000000002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213861.65000000002</v>
      </c>
      <c r="G534" s="89">
        <f t="shared" ref="G534:L534" si="38">SUM(G531:G533)</f>
        <v>66036.69</v>
      </c>
      <c r="H534" s="89">
        <f t="shared" si="38"/>
        <v>65.599999999999994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279963.94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21017.599999999999</v>
      </c>
      <c r="I536" s="18"/>
      <c r="J536" s="18"/>
      <c r="K536" s="18"/>
      <c r="L536" s="88">
        <f>SUM(F536:K536)</f>
        <v>21017.599999999999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10721.1</v>
      </c>
      <c r="I537" s="18"/>
      <c r="J537" s="18"/>
      <c r="K537" s="18"/>
      <c r="L537" s="88">
        <f>SUM(F537:K537)</f>
        <v>10721.1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21336.2</v>
      </c>
      <c r="I538" s="18"/>
      <c r="J538" s="18"/>
      <c r="K538" s="18"/>
      <c r="L538" s="88">
        <f>SUM(F538:K538)</f>
        <v>21336.2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53074.899999999994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53074.899999999994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46858.400000000001</v>
      </c>
      <c r="I541" s="18"/>
      <c r="J541" s="18"/>
      <c r="K541" s="18"/>
      <c r="L541" s="88">
        <f>SUM(F541:K541)</f>
        <v>46858.400000000001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20706.66</v>
      </c>
      <c r="I542" s="18"/>
      <c r="J542" s="18"/>
      <c r="K542" s="18"/>
      <c r="L542" s="88">
        <f>SUM(F542:K542)</f>
        <v>20706.66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55368.47</v>
      </c>
      <c r="I543" s="18"/>
      <c r="J543" s="18"/>
      <c r="K543" s="18"/>
      <c r="L543" s="88">
        <f>SUM(F543:K543)</f>
        <v>55368.47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122933.53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122933.53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5842461.2300000004</v>
      </c>
      <c r="G545" s="89">
        <f t="shared" ref="G545:L545" si="41">G524+G529+G534+G539+G544</f>
        <v>2023254.8399999999</v>
      </c>
      <c r="H545" s="89">
        <f t="shared" si="41"/>
        <v>1442031.31</v>
      </c>
      <c r="I545" s="89">
        <f t="shared" si="41"/>
        <v>35593.97</v>
      </c>
      <c r="J545" s="89">
        <f t="shared" si="41"/>
        <v>549.01</v>
      </c>
      <c r="K545" s="89">
        <f t="shared" si="41"/>
        <v>375</v>
      </c>
      <c r="L545" s="89">
        <f t="shared" si="41"/>
        <v>9344265.3599999994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2498498.3400000003</v>
      </c>
      <c r="G549" s="87">
        <f>L526</f>
        <v>940036.40999999992</v>
      </c>
      <c r="H549" s="87">
        <f>L531</f>
        <v>27593.399999999998</v>
      </c>
      <c r="I549" s="87">
        <f>L536</f>
        <v>21017.599999999999</v>
      </c>
      <c r="J549" s="87">
        <f>L541</f>
        <v>46858.400000000001</v>
      </c>
      <c r="K549" s="87">
        <f>SUM(F549:J549)</f>
        <v>3534004.15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1788569.14</v>
      </c>
      <c r="G550" s="87">
        <f>L527</f>
        <v>196994.15</v>
      </c>
      <c r="H550" s="87">
        <f>L532</f>
        <v>13229.21</v>
      </c>
      <c r="I550" s="87">
        <f>L537</f>
        <v>10721.1</v>
      </c>
      <c r="J550" s="87">
        <f>L542</f>
        <v>20706.66</v>
      </c>
      <c r="K550" s="87">
        <f>SUM(F550:J550)</f>
        <v>2030220.2599999998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2885610.05</v>
      </c>
      <c r="G551" s="87">
        <f>L528</f>
        <v>578584.9</v>
      </c>
      <c r="H551" s="87">
        <f>L533</f>
        <v>239141.33000000002</v>
      </c>
      <c r="I551" s="87">
        <f>L538</f>
        <v>21336.2</v>
      </c>
      <c r="J551" s="87">
        <f>L543</f>
        <v>55368.47</v>
      </c>
      <c r="K551" s="87">
        <f>SUM(F551:J551)</f>
        <v>3780040.95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7172677.5300000003</v>
      </c>
      <c r="G552" s="89">
        <f t="shared" si="42"/>
        <v>1715615.46</v>
      </c>
      <c r="H552" s="89">
        <f t="shared" si="42"/>
        <v>279963.94</v>
      </c>
      <c r="I552" s="89">
        <f t="shared" si="42"/>
        <v>53074.899999999994</v>
      </c>
      <c r="J552" s="89">
        <f t="shared" si="42"/>
        <v>122933.53</v>
      </c>
      <c r="K552" s="89">
        <f t="shared" si="42"/>
        <v>9344265.3599999994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825512.48</v>
      </c>
      <c r="G557" s="18">
        <v>300994.45</v>
      </c>
      <c r="H557" s="18">
        <v>23785.03</v>
      </c>
      <c r="I557" s="18">
        <v>29690.12</v>
      </c>
      <c r="J557" s="18"/>
      <c r="K557" s="18">
        <v>294.95</v>
      </c>
      <c r="L557" s="88">
        <f>SUM(F557:K557)</f>
        <v>1180277.03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73157.5</v>
      </c>
      <c r="G558" s="18">
        <v>37142.61</v>
      </c>
      <c r="H558" s="18"/>
      <c r="I558" s="18">
        <v>182.38</v>
      </c>
      <c r="J558" s="18"/>
      <c r="K558" s="18"/>
      <c r="L558" s="88">
        <f>SUM(F558:K558)</f>
        <v>110482.49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438.86</v>
      </c>
      <c r="G559" s="18">
        <v>95.8</v>
      </c>
      <c r="H559" s="18">
        <v>106383.9</v>
      </c>
      <c r="I559" s="18">
        <v>365.78</v>
      </c>
      <c r="J559" s="18"/>
      <c r="K559" s="18"/>
      <c r="L559" s="88">
        <f>SUM(F559:K559)</f>
        <v>107284.34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899108.84</v>
      </c>
      <c r="G560" s="108">
        <f t="shared" si="43"/>
        <v>338232.86</v>
      </c>
      <c r="H560" s="108">
        <f t="shared" si="43"/>
        <v>130168.93</v>
      </c>
      <c r="I560" s="108">
        <f t="shared" si="43"/>
        <v>30238.28</v>
      </c>
      <c r="J560" s="108">
        <f t="shared" si="43"/>
        <v>0</v>
      </c>
      <c r="K560" s="108">
        <f t="shared" si="43"/>
        <v>294.95</v>
      </c>
      <c r="L560" s="89">
        <f t="shared" si="43"/>
        <v>1398043.86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67188.72</v>
      </c>
      <c r="G562" s="18">
        <v>29669.61</v>
      </c>
      <c r="H562" s="18">
        <v>3153.96</v>
      </c>
      <c r="I562" s="18">
        <v>2703.58</v>
      </c>
      <c r="J562" s="18"/>
      <c r="K562" s="18"/>
      <c r="L562" s="88">
        <f>SUM(F562:K562)</f>
        <v>102715.87000000001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19628.849999999999</v>
      </c>
      <c r="G563" s="18">
        <v>10520.81</v>
      </c>
      <c r="H563" s="18">
        <v>2480.19</v>
      </c>
      <c r="I563" s="18">
        <v>910.26</v>
      </c>
      <c r="J563" s="18"/>
      <c r="K563" s="18"/>
      <c r="L563" s="88">
        <f>SUM(F563:K563)</f>
        <v>33540.109999999993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38910.26</v>
      </c>
      <c r="G564" s="18">
        <v>20909.52</v>
      </c>
      <c r="H564" s="18">
        <v>280.02999999999997</v>
      </c>
      <c r="I564" s="18">
        <v>1330.59</v>
      </c>
      <c r="J564" s="18"/>
      <c r="K564" s="18"/>
      <c r="L564" s="88">
        <f>SUM(F564:K564)</f>
        <v>61430.399999999994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125727.83000000002</v>
      </c>
      <c r="G565" s="89">
        <f t="shared" si="44"/>
        <v>61099.94</v>
      </c>
      <c r="H565" s="89">
        <f t="shared" si="44"/>
        <v>5914.1799999999994</v>
      </c>
      <c r="I565" s="89">
        <f t="shared" si="44"/>
        <v>4944.43</v>
      </c>
      <c r="J565" s="89">
        <f t="shared" si="44"/>
        <v>0</v>
      </c>
      <c r="K565" s="89">
        <f t="shared" si="44"/>
        <v>0</v>
      </c>
      <c r="L565" s="89">
        <f t="shared" si="44"/>
        <v>197686.38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7292.75</v>
      </c>
      <c r="G567" s="18">
        <v>974</v>
      </c>
      <c r="H567" s="18">
        <v>352</v>
      </c>
      <c r="I567" s="18"/>
      <c r="J567" s="18">
        <v>14398</v>
      </c>
      <c r="K567" s="18">
        <v>190</v>
      </c>
      <c r="L567" s="88">
        <f>SUM(F567:K567)</f>
        <v>23206.75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1900</v>
      </c>
      <c r="G568" s="18">
        <v>410.18</v>
      </c>
      <c r="H568" s="18"/>
      <c r="I568" s="18">
        <v>1059.9000000000001</v>
      </c>
      <c r="J568" s="18"/>
      <c r="K568" s="18"/>
      <c r="L568" s="88">
        <f>SUM(F568:K568)</f>
        <v>3370.08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10068</v>
      </c>
      <c r="G569" s="18">
        <v>1240.1099999999999</v>
      </c>
      <c r="H569" s="18">
        <v>22753.599999999999</v>
      </c>
      <c r="I569" s="18">
        <v>6169.44</v>
      </c>
      <c r="J569" s="18"/>
      <c r="K569" s="18"/>
      <c r="L569" s="88">
        <f>SUM(F569:K569)</f>
        <v>40231.15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19260.75</v>
      </c>
      <c r="G570" s="193">
        <f t="shared" ref="G570:L570" si="45">SUM(G567:G569)</f>
        <v>2624.29</v>
      </c>
      <c r="H570" s="193">
        <f t="shared" si="45"/>
        <v>23105.599999999999</v>
      </c>
      <c r="I570" s="193">
        <f t="shared" si="45"/>
        <v>7229.34</v>
      </c>
      <c r="J570" s="193">
        <f t="shared" si="45"/>
        <v>14398</v>
      </c>
      <c r="K570" s="193">
        <f t="shared" si="45"/>
        <v>190</v>
      </c>
      <c r="L570" s="193">
        <f t="shared" si="45"/>
        <v>66807.98000000001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1044097.4199999999</v>
      </c>
      <c r="G571" s="89">
        <f t="shared" ref="G571:L571" si="46">G560+G565+G570</f>
        <v>401957.08999999997</v>
      </c>
      <c r="H571" s="89">
        <f t="shared" si="46"/>
        <v>159188.71</v>
      </c>
      <c r="I571" s="89">
        <f t="shared" si="46"/>
        <v>42412.05</v>
      </c>
      <c r="J571" s="89">
        <f t="shared" si="46"/>
        <v>14398</v>
      </c>
      <c r="K571" s="89">
        <f t="shared" si="46"/>
        <v>484.95</v>
      </c>
      <c r="L571" s="89">
        <f t="shared" si="46"/>
        <v>1662538.2200000002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5750.54</v>
      </c>
      <c r="G575" s="18">
        <v>2930.82</v>
      </c>
      <c r="H575" s="18">
        <v>8360.64</v>
      </c>
      <c r="I575" s="87">
        <f>SUM(F575:H575)</f>
        <v>17042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195450.45</v>
      </c>
      <c r="H582" s="18">
        <v>589240.56000000006</v>
      </c>
      <c r="I582" s="87">
        <f t="shared" si="47"/>
        <v>784691.01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266456.3</v>
      </c>
      <c r="I591" s="18">
        <v>135802.01</v>
      </c>
      <c r="J591" s="18">
        <v>270630.87</v>
      </c>
      <c r="K591" s="104">
        <f t="shared" ref="K591:K597" si="48">SUM(H591:J591)</f>
        <v>672889.17999999993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53766.98</v>
      </c>
      <c r="I592" s="18">
        <v>56234.46</v>
      </c>
      <c r="J592" s="18">
        <v>71646.5</v>
      </c>
      <c r="K592" s="104">
        <f t="shared" si="48"/>
        <v>181647.94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923.18</v>
      </c>
      <c r="K593" s="104">
        <f t="shared" si="48"/>
        <v>923.18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1530.01</v>
      </c>
      <c r="I594" s="18">
        <v>7677.99</v>
      </c>
      <c r="J594" s="18">
        <v>57659.6</v>
      </c>
      <c r="K594" s="104">
        <f t="shared" si="48"/>
        <v>66867.600000000006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23572.62</v>
      </c>
      <c r="I595" s="18">
        <v>19748.75</v>
      </c>
      <c r="J595" s="18">
        <v>19611.27</v>
      </c>
      <c r="K595" s="104">
        <f t="shared" si="48"/>
        <v>62932.639999999999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345325.91</v>
      </c>
      <c r="I598" s="108">
        <f>SUM(I591:I597)</f>
        <v>219463.21</v>
      </c>
      <c r="J598" s="108">
        <f>SUM(J591:J597)</f>
        <v>420471.42</v>
      </c>
      <c r="K598" s="108">
        <f>SUM(K591:K597)</f>
        <v>985260.53999999992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58986.66</v>
      </c>
      <c r="I604" s="18">
        <v>24324.77</v>
      </c>
      <c r="J604" s="18">
        <v>103983.14</v>
      </c>
      <c r="K604" s="104">
        <f>SUM(H604:J604)</f>
        <v>187294.57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58986.66</v>
      </c>
      <c r="I605" s="108">
        <f>SUM(I602:I604)</f>
        <v>24324.77</v>
      </c>
      <c r="J605" s="108">
        <f>SUM(J602:J604)</f>
        <v>103983.14</v>
      </c>
      <c r="K605" s="108">
        <f>SUM(K602:K604)</f>
        <v>187294.57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2420.88</v>
      </c>
      <c r="G611" s="18">
        <v>528.25</v>
      </c>
      <c r="H611" s="18">
        <v>6547.36</v>
      </c>
      <c r="I611" s="18">
        <v>1631.72</v>
      </c>
      <c r="J611" s="18"/>
      <c r="K611" s="18"/>
      <c r="L611" s="88">
        <f>SUM(F611:K611)</f>
        <v>11128.21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8813.0400000000009</v>
      </c>
      <c r="G613" s="18">
        <v>1434.87</v>
      </c>
      <c r="H613" s="18"/>
      <c r="I613" s="18"/>
      <c r="J613" s="18"/>
      <c r="K613" s="18"/>
      <c r="L613" s="88">
        <f>SUM(F613:K613)</f>
        <v>10247.91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11233.920000000002</v>
      </c>
      <c r="G614" s="108">
        <f t="shared" si="49"/>
        <v>1963.12</v>
      </c>
      <c r="H614" s="108">
        <f t="shared" si="49"/>
        <v>6547.36</v>
      </c>
      <c r="I614" s="108">
        <f t="shared" si="49"/>
        <v>1631.72</v>
      </c>
      <c r="J614" s="108">
        <f t="shared" si="49"/>
        <v>0</v>
      </c>
      <c r="K614" s="108">
        <f t="shared" si="49"/>
        <v>0</v>
      </c>
      <c r="L614" s="89">
        <f t="shared" si="49"/>
        <v>21376.12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</v>
      </c>
      <c r="H617" s="109">
        <f>SUM(F52)</f>
        <v>0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92880.700000000012</v>
      </c>
      <c r="H618" s="109">
        <f>SUM(G52)</f>
        <v>92880.7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624763.52</v>
      </c>
      <c r="H619" s="109">
        <f>SUM(H52)</f>
        <v>624763.52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5192797.9000000004</v>
      </c>
      <c r="H621" s="109">
        <f>SUM(J52)</f>
        <v>5192797.8999999994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241.34</v>
      </c>
      <c r="H623" s="109">
        <f>G476</f>
        <v>241.3399999999674</v>
      </c>
      <c r="I623" s="121" t="s">
        <v>102</v>
      </c>
      <c r="J623" s="109">
        <f t="shared" si="50"/>
        <v>3.2599700716673397E-11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621064.06000000006</v>
      </c>
      <c r="H624" s="109">
        <f>H476</f>
        <v>621064.06000000006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5192797.8999999994</v>
      </c>
      <c r="H626" s="109">
        <f>J476</f>
        <v>5192797.9000000004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39819685.260000005</v>
      </c>
      <c r="H627" s="104">
        <f>SUM(F468)</f>
        <v>39819685.259999998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842729.52</v>
      </c>
      <c r="H628" s="104">
        <f>SUM(G468)</f>
        <v>842729.52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4212312.87</v>
      </c>
      <c r="H629" s="104">
        <f>SUM(H468)</f>
        <v>4212312.87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175511.43</v>
      </c>
      <c r="H631" s="104">
        <f>SUM(J468)</f>
        <v>175511.43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39819685.260000005</v>
      </c>
      <c r="H632" s="104">
        <f>SUM(F472)</f>
        <v>39819685.259999998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4141007.7300000004</v>
      </c>
      <c r="H633" s="104">
        <f>SUM(H472)</f>
        <v>4141007.73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373556.43</v>
      </c>
      <c r="H634" s="104">
        <f>I369</f>
        <v>373556.43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842514.62</v>
      </c>
      <c r="H635" s="104">
        <f>SUM(G472)</f>
        <v>842514.62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175511.43</v>
      </c>
      <c r="H637" s="164">
        <f>SUM(J468)</f>
        <v>175511.43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125959.39</v>
      </c>
      <c r="H638" s="164">
        <f>SUM(J472)</f>
        <v>125959.39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5192797.9000000004</v>
      </c>
      <c r="H641" s="104">
        <f>SUM(H461)</f>
        <v>5192797.8999999994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5192797.9000000004</v>
      </c>
      <c r="H642" s="104">
        <f>SUM(I461)</f>
        <v>5192797.8999999994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170036.43</v>
      </c>
      <c r="H644" s="104">
        <f>H408</f>
        <v>170036.43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175511.43</v>
      </c>
      <c r="H646" s="104">
        <f>L408</f>
        <v>175511.43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985260.53999999992</v>
      </c>
      <c r="H647" s="104">
        <f>L208+L226+L244</f>
        <v>985260.54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187294.57</v>
      </c>
      <c r="H648" s="104">
        <f>(J257+J338)-(J255+J336)</f>
        <v>187294.56999999998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345325.91</v>
      </c>
      <c r="H649" s="104">
        <f>H598</f>
        <v>345325.91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219463.21</v>
      </c>
      <c r="H650" s="104">
        <f>I598</f>
        <v>219463.21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420471.42</v>
      </c>
      <c r="H651" s="104">
        <f>J598</f>
        <v>420471.42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45768</v>
      </c>
      <c r="H652" s="104">
        <f>K263+K345</f>
        <v>45768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635216</v>
      </c>
      <c r="H653" s="104">
        <f>K264</f>
        <v>635216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17150889.59</v>
      </c>
      <c r="G660" s="19">
        <f>(L229+L309+L359)</f>
        <v>9038412.5100000016</v>
      </c>
      <c r="H660" s="19">
        <f>(L247+L328+L360)</f>
        <v>17932921.509999998</v>
      </c>
      <c r="I660" s="19">
        <f>SUM(F660:H660)</f>
        <v>44122223.609999999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151086.79634308943</v>
      </c>
      <c r="G661" s="19">
        <f>(L359/IF(SUM(L358:L360)=0,1,SUM(L358:L360))*(SUM(G97:G110)))</f>
        <v>96340.621753233208</v>
      </c>
      <c r="H661" s="19">
        <f>(L360/IF(SUM(L358:L360)=0,1,SUM(L358:L360))*(SUM(G97:G110)))</f>
        <v>182295.71190367735</v>
      </c>
      <c r="I661" s="19">
        <f>SUM(F661:H661)</f>
        <v>429723.13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351555.89999999997</v>
      </c>
      <c r="G662" s="19">
        <f>(L226+L306)-(J226+J306)</f>
        <v>219463.21</v>
      </c>
      <c r="H662" s="19">
        <f>(L244+L325)-(J244+J325)</f>
        <v>435217.52999999997</v>
      </c>
      <c r="I662" s="19">
        <f>SUM(F662:H662)</f>
        <v>1006236.6399999999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75865.41</v>
      </c>
      <c r="G663" s="199">
        <f>SUM(G575:G587)+SUM(I602:I604)+L612</f>
        <v>222706.04</v>
      </c>
      <c r="H663" s="199">
        <f>SUM(H575:H587)+SUM(J602:J604)+L613</f>
        <v>711832.25000000012</v>
      </c>
      <c r="I663" s="19">
        <f>SUM(F663:H663)</f>
        <v>1010403.7000000002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16572381.483656911</v>
      </c>
      <c r="G664" s="19">
        <f>G660-SUM(G661:G663)</f>
        <v>8499902.6382467691</v>
      </c>
      <c r="H664" s="19">
        <f>H660-SUM(H661:H663)</f>
        <v>16603576.01809632</v>
      </c>
      <c r="I664" s="19">
        <f>I660-SUM(I661:I663)</f>
        <v>41675860.140000001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1048.7</v>
      </c>
      <c r="G665" s="248">
        <v>534.52</v>
      </c>
      <c r="H665" s="248">
        <v>1065.1300000000001</v>
      </c>
      <c r="I665" s="19">
        <f>SUM(F665:H665)</f>
        <v>2648.3500000000004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15802.79</v>
      </c>
      <c r="G667" s="19">
        <f>ROUND(G664/G665,2)</f>
        <v>15901.94</v>
      </c>
      <c r="H667" s="19">
        <f>ROUND(H664/H665,2)</f>
        <v>15588.31</v>
      </c>
      <c r="I667" s="19">
        <f>ROUND(I664/I665,2)</f>
        <v>15736.54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-0.44</v>
      </c>
      <c r="I670" s="19">
        <f>SUM(F670:H670)</f>
        <v>-0.44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15802.79</v>
      </c>
      <c r="G672" s="19">
        <f>ROUND((G664+G669)/(G665+G670),2)</f>
        <v>15901.94</v>
      </c>
      <c r="H672" s="19">
        <f>ROUND((H664+H669)/(H665+H670),2)</f>
        <v>15594.75</v>
      </c>
      <c r="I672" s="19">
        <f>ROUND((I664+I669)/(I665+I670),2)</f>
        <v>15739.15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Portsmouth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11902097.030000001</v>
      </c>
      <c r="C9" s="229">
        <f>'DOE25'!G197+'DOE25'!G215+'DOE25'!G233+'DOE25'!G276+'DOE25'!G295+'DOE25'!G314</f>
        <v>6106469.8099999996</v>
      </c>
    </row>
    <row r="10" spans="1:3" x14ac:dyDescent="0.2">
      <c r="A10" t="s">
        <v>779</v>
      </c>
      <c r="B10" s="240">
        <v>11099190.279999999</v>
      </c>
      <c r="C10" s="240">
        <v>5863733.4100000001</v>
      </c>
    </row>
    <row r="11" spans="1:3" x14ac:dyDescent="0.2">
      <c r="A11" t="s">
        <v>780</v>
      </c>
      <c r="B11" s="240">
        <v>401312.32</v>
      </c>
      <c r="C11" s="240">
        <v>212014.43</v>
      </c>
    </row>
    <row r="12" spans="1:3" x14ac:dyDescent="0.2">
      <c r="A12" t="s">
        <v>781</v>
      </c>
      <c r="B12" s="240">
        <v>401594.43</v>
      </c>
      <c r="C12" s="240">
        <v>30721.97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11902097.029999999</v>
      </c>
      <c r="C13" s="231">
        <f>SUM(C10:C12)</f>
        <v>6106469.8099999996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4893525.4000000004</v>
      </c>
      <c r="C18" s="229">
        <f>'DOE25'!G198+'DOE25'!G216+'DOE25'!G234+'DOE25'!G277+'DOE25'!G296+'DOE25'!G315</f>
        <v>1620704.31</v>
      </c>
    </row>
    <row r="19" spans="1:3" x14ac:dyDescent="0.2">
      <c r="A19" t="s">
        <v>779</v>
      </c>
      <c r="B19" s="240">
        <v>3099321.71</v>
      </c>
      <c r="C19" s="240">
        <v>1026475.52</v>
      </c>
    </row>
    <row r="20" spans="1:3" x14ac:dyDescent="0.2">
      <c r="A20" t="s">
        <v>780</v>
      </c>
      <c r="B20" s="240">
        <v>1642199.8</v>
      </c>
      <c r="C20" s="240">
        <v>543886.06999999995</v>
      </c>
    </row>
    <row r="21" spans="1:3" x14ac:dyDescent="0.2">
      <c r="A21" t="s">
        <v>781</v>
      </c>
      <c r="B21" s="240">
        <v>152003.89000000001</v>
      </c>
      <c r="C21" s="240">
        <v>50342.720000000001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4893525.3999999994</v>
      </c>
      <c r="C22" s="231">
        <f>SUM(C19:C21)</f>
        <v>1620704.3099999998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735930.88</v>
      </c>
      <c r="C27" s="234">
        <f>'DOE25'!G199+'DOE25'!G217+'DOE25'!G235+'DOE25'!G278+'DOE25'!G297+'DOE25'!G316</f>
        <v>388898.97</v>
      </c>
    </row>
    <row r="28" spans="1:3" x14ac:dyDescent="0.2">
      <c r="A28" t="s">
        <v>779</v>
      </c>
      <c r="B28" s="240">
        <v>735930.88</v>
      </c>
      <c r="C28" s="240">
        <v>388898.97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735930.88</v>
      </c>
      <c r="C31" s="231">
        <f>SUM(C28:C30)</f>
        <v>388898.97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352352.39999999997</v>
      </c>
      <c r="C36" s="235">
        <f>'DOE25'!G200+'DOE25'!G218+'DOE25'!G236+'DOE25'!G279+'DOE25'!G298+'DOE25'!G317</f>
        <v>98196.799999999988</v>
      </c>
    </row>
    <row r="37" spans="1:3" x14ac:dyDescent="0.2">
      <c r="A37" t="s">
        <v>779</v>
      </c>
      <c r="B37" s="240">
        <v>314352.40000000002</v>
      </c>
      <c r="C37" s="240">
        <v>87606.61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38000</v>
      </c>
      <c r="C39" s="240">
        <v>10590.19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352352.4</v>
      </c>
      <c r="C40" s="231">
        <f>SUM(C37:C39)</f>
        <v>98196.800000000003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13" sqref="F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Portsmouth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24597437.02</v>
      </c>
      <c r="D5" s="20">
        <f>SUM('DOE25'!L197:L200)+SUM('DOE25'!L215:L218)+SUM('DOE25'!L233:L236)-F5-G5</f>
        <v>24559791.740000002</v>
      </c>
      <c r="E5" s="243"/>
      <c r="F5" s="255">
        <f>SUM('DOE25'!J197:J200)+SUM('DOE25'!J215:J218)+SUM('DOE25'!J233:J236)</f>
        <v>35023.49</v>
      </c>
      <c r="G5" s="53">
        <f>SUM('DOE25'!K197:K200)+SUM('DOE25'!K215:K218)+SUM('DOE25'!K233:K236)</f>
        <v>2621.79</v>
      </c>
      <c r="H5" s="259"/>
    </row>
    <row r="6" spans="1:9" x14ac:dyDescent="0.2">
      <c r="A6" s="32">
        <v>2100</v>
      </c>
      <c r="B6" t="s">
        <v>801</v>
      </c>
      <c r="C6" s="245">
        <f t="shared" si="0"/>
        <v>4560666.72</v>
      </c>
      <c r="D6" s="20">
        <f>'DOE25'!L202+'DOE25'!L220+'DOE25'!L238-F6-G6</f>
        <v>4542399.2299999995</v>
      </c>
      <c r="E6" s="243"/>
      <c r="F6" s="255">
        <f>'DOE25'!J202+'DOE25'!J220+'DOE25'!J238</f>
        <v>0</v>
      </c>
      <c r="G6" s="53">
        <f>'DOE25'!K202+'DOE25'!K220+'DOE25'!K238</f>
        <v>18267.489999999998</v>
      </c>
      <c r="H6" s="259"/>
    </row>
    <row r="7" spans="1:9" x14ac:dyDescent="0.2">
      <c r="A7" s="32">
        <v>2200</v>
      </c>
      <c r="B7" t="s">
        <v>834</v>
      </c>
      <c r="C7" s="245">
        <f t="shared" si="0"/>
        <v>724672.64000000013</v>
      </c>
      <c r="D7" s="20">
        <f>'DOE25'!L203+'DOE25'!L221+'DOE25'!L239-F7-G7</f>
        <v>637968.19000000018</v>
      </c>
      <c r="E7" s="243"/>
      <c r="F7" s="255">
        <f>'DOE25'!J203+'DOE25'!J221+'DOE25'!J239</f>
        <v>86444.45</v>
      </c>
      <c r="G7" s="53">
        <f>'DOE25'!K203+'DOE25'!K221+'DOE25'!K239</f>
        <v>260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660323.53</v>
      </c>
      <c r="D8" s="243"/>
      <c r="E8" s="20">
        <f>'DOE25'!L204+'DOE25'!L222+'DOE25'!L240-F8-G8-D9-D11</f>
        <v>619127.34000000008</v>
      </c>
      <c r="F8" s="255">
        <f>'DOE25'!J204+'DOE25'!J222+'DOE25'!J240</f>
        <v>907.19</v>
      </c>
      <c r="G8" s="53">
        <f>'DOE25'!K204+'DOE25'!K222+'DOE25'!K240</f>
        <v>40289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29760.77</v>
      </c>
      <c r="D9" s="244">
        <v>29760.77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>
        <v>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482298.74</v>
      </c>
      <c r="D11" s="244">
        <v>482298.74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2066650.3000000003</v>
      </c>
      <c r="D12" s="20">
        <f>'DOE25'!L205+'DOE25'!L223+'DOE25'!L241-F12-G12</f>
        <v>2062620.3000000003</v>
      </c>
      <c r="E12" s="243"/>
      <c r="F12" s="255">
        <f>'DOE25'!J205+'DOE25'!J223+'DOE25'!J241</f>
        <v>0</v>
      </c>
      <c r="G12" s="53">
        <f>'DOE25'!K205+'DOE25'!K223+'DOE25'!K241</f>
        <v>4030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555702.97</v>
      </c>
      <c r="D13" s="243"/>
      <c r="E13" s="20">
        <f>'DOE25'!L206+'DOE25'!L224+'DOE25'!L242-F13-G13</f>
        <v>554744.94999999995</v>
      </c>
      <c r="F13" s="255">
        <f>'DOE25'!J206+'DOE25'!J224+'DOE25'!J242</f>
        <v>0</v>
      </c>
      <c r="G13" s="53">
        <f>'DOE25'!K206+'DOE25'!K224+'DOE25'!K242</f>
        <v>958.02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3718897.8</v>
      </c>
      <c r="D14" s="20">
        <f>'DOE25'!L207+'DOE25'!L225+'DOE25'!L243-F14-G14</f>
        <v>3696166.55</v>
      </c>
      <c r="E14" s="243"/>
      <c r="F14" s="255">
        <f>'DOE25'!J207+'DOE25'!J225+'DOE25'!J243</f>
        <v>11082.220000000001</v>
      </c>
      <c r="G14" s="53">
        <f>'DOE25'!K207+'DOE25'!K225+'DOE25'!K243</f>
        <v>11649.029999999999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985260.54</v>
      </c>
      <c r="D15" s="20">
        <f>'DOE25'!L208+'DOE25'!L226+'DOE25'!L244-F15-G15</f>
        <v>985260.54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757030.2300000001</v>
      </c>
      <c r="D16" s="243"/>
      <c r="E16" s="20">
        <f>'DOE25'!L209+'DOE25'!L227+'DOE25'!L245-F16-G16</f>
        <v>757030.2300000001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501541.62</v>
      </c>
      <c r="D29" s="20">
        <f>'DOE25'!L358+'DOE25'!L359+'DOE25'!L360-'DOE25'!I367-F29-G29</f>
        <v>500933.6</v>
      </c>
      <c r="E29" s="243"/>
      <c r="F29" s="255">
        <f>'DOE25'!J358+'DOE25'!J359+'DOE25'!J360</f>
        <v>0</v>
      </c>
      <c r="G29" s="53">
        <f>'DOE25'!K358+'DOE25'!K359+'DOE25'!K360</f>
        <v>608.02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4141007.7300000004</v>
      </c>
      <c r="D31" s="20">
        <f>'DOE25'!L290+'DOE25'!L309+'DOE25'!L328+'DOE25'!L333+'DOE25'!L334+'DOE25'!L335-F31-G31</f>
        <v>4084292.5300000003</v>
      </c>
      <c r="E31" s="243"/>
      <c r="F31" s="255">
        <f>'DOE25'!J290+'DOE25'!J309+'DOE25'!J328+'DOE25'!J333+'DOE25'!J334+'DOE25'!J335</f>
        <v>53837.22</v>
      </c>
      <c r="G31" s="53">
        <f>'DOE25'!K290+'DOE25'!K309+'DOE25'!K328+'DOE25'!K333+'DOE25'!K334+'DOE25'!K335</f>
        <v>2877.98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41581492.190000005</v>
      </c>
      <c r="E33" s="246">
        <f>SUM(E5:E31)</f>
        <v>1930902.52</v>
      </c>
      <c r="F33" s="246">
        <f>SUM(F5:F31)</f>
        <v>187294.57</v>
      </c>
      <c r="G33" s="246">
        <f>SUM(G5:G31)</f>
        <v>81561.33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1930902.52</v>
      </c>
      <c r="E35" s="249"/>
    </row>
    <row r="36" spans="2:8" ht="12" thickTop="1" x14ac:dyDescent="0.2">
      <c r="B36" t="s">
        <v>815</v>
      </c>
      <c r="D36" s="20">
        <f>D33</f>
        <v>41581492.190000005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Portsmouth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375.86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45768</v>
      </c>
      <c r="E11" s="95">
        <f>'DOE25'!H12</f>
        <v>0</v>
      </c>
      <c r="F11" s="95">
        <f>'DOE25'!I12</f>
        <v>0</v>
      </c>
      <c r="G11" s="95">
        <f>'DOE25'!J12</f>
        <v>5192422.04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25426.04</v>
      </c>
      <c r="E12" s="95">
        <f>'DOE25'!H13</f>
        <v>624763.52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21686.66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92880.700000000012</v>
      </c>
      <c r="E18" s="41">
        <f>SUM(E8:E17)</f>
        <v>624763.52</v>
      </c>
      <c r="F18" s="41">
        <f>SUM(F8:F17)</f>
        <v>0</v>
      </c>
      <c r="G18" s="41">
        <f>SUM(G8:G17)</f>
        <v>5192797.9000000004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62276.17</v>
      </c>
      <c r="E21" s="95">
        <f>'DOE25'!H22</f>
        <v>1677.68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2021.78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30363.19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92639.360000000001</v>
      </c>
      <c r="E31" s="41">
        <f>SUM(E21:E30)</f>
        <v>3699.46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5107473.09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85324.81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241.34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621064.06000000006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0</v>
      </c>
      <c r="D50" s="41">
        <f>SUM(D34:D49)</f>
        <v>241.34</v>
      </c>
      <c r="E50" s="41">
        <f>SUM(E34:E49)</f>
        <v>621064.06000000006</v>
      </c>
      <c r="F50" s="41">
        <f>SUM(F34:F49)</f>
        <v>0</v>
      </c>
      <c r="G50" s="41">
        <f>SUM(G34:G49)</f>
        <v>5192797.8999999994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0</v>
      </c>
      <c r="D51" s="41">
        <f>D50+D31</f>
        <v>92880.7</v>
      </c>
      <c r="E51" s="41">
        <f>E50+E31</f>
        <v>624763.52</v>
      </c>
      <c r="F51" s="41">
        <f>F50+F31</f>
        <v>0</v>
      </c>
      <c r="G51" s="41">
        <f>G50+G31</f>
        <v>5192797.8999999994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22565157.780000001</v>
      </c>
      <c r="D56" s="95">
        <f>'DOE25'!G60</f>
        <v>0</v>
      </c>
      <c r="E56" s="95">
        <f>'DOE25'!H60</f>
        <v>241490.27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5483301.3800000008</v>
      </c>
      <c r="D57" s="24" t="s">
        <v>289</v>
      </c>
      <c r="E57" s="95">
        <f>'DOE25'!H79</f>
        <v>657176.34000000008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170036.43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429723.13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15422.27</v>
      </c>
      <c r="D61" s="95">
        <f>SUM('DOE25'!G98:G110)</f>
        <v>0</v>
      </c>
      <c r="E61" s="95">
        <f>SUM('DOE25'!H98:H110)</f>
        <v>189074.4</v>
      </c>
      <c r="F61" s="95">
        <f>SUM('DOE25'!I98:I110)</f>
        <v>0</v>
      </c>
      <c r="G61" s="95">
        <f>SUM('DOE25'!J98:J110)</f>
        <v>5475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5498723.6500000004</v>
      </c>
      <c r="D62" s="130">
        <f>SUM(D57:D61)</f>
        <v>429723.13</v>
      </c>
      <c r="E62" s="130">
        <f>SUM(E57:E61)</f>
        <v>846250.74000000011</v>
      </c>
      <c r="F62" s="130">
        <f>SUM(F57:F61)</f>
        <v>0</v>
      </c>
      <c r="G62" s="130">
        <f>SUM(G57:G61)</f>
        <v>175511.43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28063881.43</v>
      </c>
      <c r="D63" s="22">
        <f>D56+D62</f>
        <v>429723.13</v>
      </c>
      <c r="E63" s="22">
        <f>E56+E62</f>
        <v>1087741.01</v>
      </c>
      <c r="F63" s="22">
        <f>F56+F62</f>
        <v>0</v>
      </c>
      <c r="G63" s="22">
        <f>G56+G62</f>
        <v>175511.43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9744008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9744008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1770305.56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241490.27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8089.46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2011795.83</v>
      </c>
      <c r="D78" s="130">
        <f>SUM(D72:D77)</f>
        <v>8089.46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11755803.83</v>
      </c>
      <c r="D81" s="130">
        <f>SUM(D79:D80)+D78+D70</f>
        <v>8089.46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12193.36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346955.57</v>
      </c>
      <c r="E88" s="95">
        <f>SUM('DOE25'!H153:H161)</f>
        <v>2489355.8600000003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359148.93</v>
      </c>
      <c r="E91" s="131">
        <f>SUM(E85:E90)</f>
        <v>2489355.8600000003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45768</v>
      </c>
      <c r="E96" s="95">
        <f>'DOE25'!H179</f>
        <v>635216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45768</v>
      </c>
      <c r="E103" s="86">
        <f>SUM(E93:E102)</f>
        <v>635216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39819685.259999998</v>
      </c>
      <c r="D104" s="86">
        <f>D63+D81+D91+D103</f>
        <v>842729.52</v>
      </c>
      <c r="E104" s="86">
        <f>E63+E81+E91+E103</f>
        <v>4212312.87</v>
      </c>
      <c r="F104" s="86">
        <f>F63+F81+F91+F103</f>
        <v>0</v>
      </c>
      <c r="G104" s="86">
        <f>G63+G81+G103</f>
        <v>175511.43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18255128.640000001</v>
      </c>
      <c r="D109" s="24" t="s">
        <v>289</v>
      </c>
      <c r="E109" s="95">
        <f>('DOE25'!L276)+('DOE25'!L295)+('DOE25'!L314)</f>
        <v>163973.18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4581330.45</v>
      </c>
      <c r="D110" s="24" t="s">
        <v>289</v>
      </c>
      <c r="E110" s="95">
        <f>('DOE25'!L277)+('DOE25'!L296)+('DOE25'!L315)</f>
        <v>3087347.41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1143859.1000000001</v>
      </c>
      <c r="D111" s="24" t="s">
        <v>289</v>
      </c>
      <c r="E111" s="95">
        <f>('DOE25'!L278)+('DOE25'!L297)+('DOE25'!L316)</f>
        <v>39821.929999999993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617118.83000000007</v>
      </c>
      <c r="D112" s="24" t="s">
        <v>289</v>
      </c>
      <c r="E112" s="95">
        <f>+('DOE25'!L279)+('DOE25'!L298)+('DOE25'!L317)</f>
        <v>138284.32999999999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24597437.020000003</v>
      </c>
      <c r="D115" s="86">
        <f>SUM(D109:D114)</f>
        <v>0</v>
      </c>
      <c r="E115" s="86">
        <f>SUM(E109:E114)</f>
        <v>3429426.8500000006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4560666.72</v>
      </c>
      <c r="D118" s="24" t="s">
        <v>289</v>
      </c>
      <c r="E118" s="95">
        <f>+('DOE25'!L281)+('DOE25'!L300)+('DOE25'!L319)</f>
        <v>134718.09999999998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724672.64000000013</v>
      </c>
      <c r="D119" s="24" t="s">
        <v>289</v>
      </c>
      <c r="E119" s="95">
        <f>+('DOE25'!L282)+('DOE25'!L301)+('DOE25'!L320)</f>
        <v>96320.36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1172383.04</v>
      </c>
      <c r="D120" s="24" t="s">
        <v>289</v>
      </c>
      <c r="E120" s="95">
        <f>+('DOE25'!L283)+('DOE25'!L302)+('DOE25'!L321)</f>
        <v>209852.58000000002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2066650.3000000003</v>
      </c>
      <c r="D121" s="24" t="s">
        <v>289</v>
      </c>
      <c r="E121" s="95">
        <f>+('DOE25'!L284)+('DOE25'!L303)+('DOE25'!L322)</f>
        <v>108846.06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555702.97</v>
      </c>
      <c r="D122" s="24" t="s">
        <v>289</v>
      </c>
      <c r="E122" s="95">
        <f>+('DOE25'!L285)+('DOE25'!L304)+('DOE25'!L323)</f>
        <v>1049.83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3718897.8</v>
      </c>
      <c r="D123" s="24" t="s">
        <v>289</v>
      </c>
      <c r="E123" s="95">
        <f>+('DOE25'!L286)+('DOE25'!L305)+('DOE25'!L324)</f>
        <v>139817.85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985260.54</v>
      </c>
      <c r="D124" s="24" t="s">
        <v>289</v>
      </c>
      <c r="E124" s="95">
        <f>+('DOE25'!L287)+('DOE25'!L306)+('DOE25'!L325)</f>
        <v>20976.1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757030.2300000001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842514.62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14541264.239999998</v>
      </c>
      <c r="D128" s="86">
        <f>SUM(D118:D127)</f>
        <v>842514.62</v>
      </c>
      <c r="E128" s="86">
        <f>SUM(E118:E127)</f>
        <v>711580.87999999989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16634.39</v>
      </c>
    </row>
    <row r="135" spans="1:7" x14ac:dyDescent="0.2">
      <c r="A135" t="s">
        <v>233</v>
      </c>
      <c r="B135" s="32" t="s">
        <v>234</v>
      </c>
      <c r="C135" s="95">
        <f>'DOE25'!L263</f>
        <v>45768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635216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175511.43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-175511.43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680984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16634.39</v>
      </c>
    </row>
    <row r="145" spans="1:9" ht="12.75" thickTop="1" thickBot="1" x14ac:dyDescent="0.25">
      <c r="A145" s="33" t="s">
        <v>244</v>
      </c>
      <c r="C145" s="86">
        <f>(C115+C128+C144)</f>
        <v>39819685.260000005</v>
      </c>
      <c r="D145" s="86">
        <f>(D115+D128+D144)</f>
        <v>842514.62</v>
      </c>
      <c r="E145" s="86">
        <f>(E115+E128+E144)</f>
        <v>4141007.7300000004</v>
      </c>
      <c r="F145" s="86">
        <f>(F115+F128+F144)</f>
        <v>0</v>
      </c>
      <c r="G145" s="86">
        <f>(G115+G128+G144)</f>
        <v>16634.39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Portsmouth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15803</v>
      </c>
    </row>
    <row r="5" spans="1:4" x14ac:dyDescent="0.2">
      <c r="B5" t="s">
        <v>704</v>
      </c>
      <c r="C5" s="179">
        <f>IF('DOE25'!G665+'DOE25'!G670=0,0,ROUND('DOE25'!G672,0))</f>
        <v>15902</v>
      </c>
    </row>
    <row r="6" spans="1:4" x14ac:dyDescent="0.2">
      <c r="B6" t="s">
        <v>62</v>
      </c>
      <c r="C6" s="179">
        <f>IF('DOE25'!H665+'DOE25'!H670=0,0,ROUND('DOE25'!H672,0))</f>
        <v>15595</v>
      </c>
    </row>
    <row r="7" spans="1:4" x14ac:dyDescent="0.2">
      <c r="B7" t="s">
        <v>705</v>
      </c>
      <c r="C7" s="179">
        <f>IF('DOE25'!I665+'DOE25'!I670=0,0,ROUND('DOE25'!I672,0))</f>
        <v>15739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18419102</v>
      </c>
      <c r="D10" s="182">
        <f>ROUND((C10/$C$28)*100,1)</f>
        <v>42.2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7668678</v>
      </c>
      <c r="D11" s="182">
        <f>ROUND((C11/$C$28)*100,1)</f>
        <v>17.600000000000001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1183681</v>
      </c>
      <c r="D12" s="182">
        <f>ROUND((C12/$C$28)*100,1)</f>
        <v>2.7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755403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4695385</v>
      </c>
      <c r="D15" s="182">
        <f t="shared" ref="D15:D27" si="0">ROUND((C15/$C$28)*100,1)</f>
        <v>10.7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820993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2139266</v>
      </c>
      <c r="D17" s="182">
        <f t="shared" si="0"/>
        <v>4.9000000000000004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2175496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556753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3858716</v>
      </c>
      <c r="D20" s="182">
        <f t="shared" si="0"/>
        <v>8.8000000000000007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1006237</v>
      </c>
      <c r="D21" s="182">
        <f t="shared" si="0"/>
        <v>2.2999999999999998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412791.87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43692501.869999997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43692501.869999997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22806648</v>
      </c>
      <c r="D35" s="182">
        <f t="shared" ref="D35:D40" si="1">ROUND((C35/$C$41)*100,1)</f>
        <v>51.9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6520485.8700000048</v>
      </c>
      <c r="D36" s="182">
        <f t="shared" si="1"/>
        <v>14.8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9744008</v>
      </c>
      <c r="D37" s="182">
        <f t="shared" si="1"/>
        <v>22.2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2019885</v>
      </c>
      <c r="D38" s="182">
        <f t="shared" si="1"/>
        <v>4.5999999999999996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2848505</v>
      </c>
      <c r="D39" s="182">
        <f t="shared" si="1"/>
        <v>6.5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43939531.870000005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Portsmouth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2014-10-02T13:03:33Z</cp:lastPrinted>
  <dcterms:created xsi:type="dcterms:W3CDTF">1997-12-04T19:04:30Z</dcterms:created>
  <dcterms:modified xsi:type="dcterms:W3CDTF">2014-12-05T17:29:46Z</dcterms:modified>
</cp:coreProperties>
</file>